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oss - Net" sheetId="1" state="visible" r:id="rId3"/>
    <sheet name="Thuế TNCN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<sst xmlns="http://schemas.openxmlformats.org/spreadsheetml/2006/main" count="141" uniqueCount="93">
  <si>
    <t xml:space="preserve">CÔNG CỤ CHUYỂN ĐỔI TỪ LƯƠNG GROSS - NET</t>
  </si>
  <si>
    <t xml:space="preserve">CÔNG CỤ CHUYỂN ĐỔI TỪ LƯƠNG NET - GROSS</t>
  </si>
  <si>
    <t xml:space="preserve">Phòng: Lao động - Tiền lương - Việc làm; Trang:https://thuvienphapluat.vn/lao-dong-tien-luong/</t>
  </si>
  <si>
    <t xml:space="preserve">Lương Gross:</t>
  </si>
  <si>
    <t xml:space="preserve">Lương Net:</t>
  </si>
  <si>
    <t xml:space="preserve">Lương đóng Bảo hiểm:</t>
  </si>
  <si>
    <t xml:space="preserve">Trên lương Gross</t>
  </si>
  <si>
    <r>
      <rPr>
        <i val="true"/>
        <sz val="14"/>
        <color rgb="FFFF0000"/>
        <rFont val="Times New Roman"/>
        <family val="1"/>
        <charset val="1"/>
      </rPr>
      <t xml:space="preserve">(*)</t>
    </r>
    <r>
      <rPr>
        <b val="true"/>
        <i val="true"/>
        <sz val="14"/>
        <color rgb="FFFF0000"/>
        <rFont val="Times New Roman"/>
        <family val="1"/>
        <charset val="1"/>
      </rPr>
      <t xml:space="preserve">Nếu chọn Khác thì nhập L6, trên lương Gross vui lòng không nhập</t>
    </r>
  </si>
  <si>
    <t xml:space="preserve">Số người phụ thuộc:</t>
  </si>
  <si>
    <t xml:space="preserve">Vùng:</t>
  </si>
  <si>
    <t xml:space="preserve">Vùng 1</t>
  </si>
  <si>
    <t xml:space="preserve">Các khoản giảm trừ thuế (nếu có):</t>
  </si>
  <si>
    <t xml:space="preserve">Mức tham chiếu:</t>
  </si>
  <si>
    <t xml:space="preserve">Kết quả</t>
  </si>
  <si>
    <t xml:space="preserve">Lương Gross</t>
  </si>
  <si>
    <t xml:space="preserve">Bảo hiểm</t>
  </si>
  <si>
    <t xml:space="preserve">Thuế TNCN</t>
  </si>
  <si>
    <t xml:space="preserve">Lương Net</t>
  </si>
  <si>
    <t xml:space="preserve">Gross tạm</t>
  </si>
  <si>
    <t xml:space="preserve">CHI TIẾT LƯƠNG NHÂN VIÊN</t>
  </si>
  <si>
    <t xml:space="preserve">NSDLĐ PHẢI ĐÓNG</t>
  </si>
  <si>
    <t xml:space="preserve">Bảo hiểm xã hội (8%)</t>
  </si>
  <si>
    <t xml:space="preserve">Bảo hiểm xã hội (17%)</t>
  </si>
  <si>
    <t xml:space="preserve">Giảm trừ bản thân</t>
  </si>
  <si>
    <t xml:space="preserve">Bảo hiểm Y tế (1,5%)</t>
  </si>
  <si>
    <t xml:space="preserve">Bảo hiểm Y tế (3%)</t>
  </si>
  <si>
    <t xml:space="preserve">Giảm trừ người phụ thuộc</t>
  </si>
  <si>
    <t xml:space="preserve">Bảo hiểm thất nghiệp (1%)</t>
  </si>
  <si>
    <t xml:space="preserve">Thu nhập quy đổi</t>
  </si>
  <si>
    <t xml:space="preserve">Thu nhập trước thuế:</t>
  </si>
  <si>
    <t xml:space="preserve">Bảo hiểm TNLĐ-BNN:</t>
  </si>
  <si>
    <t xml:space="preserve">Đóng theo mức bình thường (0.5%) </t>
  </si>
  <si>
    <t xml:space="preserve">Thu nhập tính thuế:</t>
  </si>
  <si>
    <t xml:space="preserve">Kinh phí công đoàn (2%)</t>
  </si>
  <si>
    <t xml:space="preserve">(Vui lòng chọn trường hợp đóng TNLĐ-BNN)</t>
  </si>
  <si>
    <t xml:space="preserve">Thuế TNCN phải nộp:</t>
  </si>
  <si>
    <t xml:space="preserve">Tổng</t>
  </si>
  <si>
    <t xml:space="preserve">CHI TIẾT TÍNH THUẾ TNCN</t>
  </si>
  <si>
    <t xml:space="preserve">CHUYỂN TNQĐ -&gt; THU NHẬP TÍNH THUẾ</t>
  </si>
  <si>
    <t xml:space="preserve">Mức chịu thuế </t>
  </si>
  <si>
    <t xml:space="preserve">Thuế suất </t>
  </si>
  <si>
    <t xml:space="preserve">Tiền nộp</t>
  </si>
  <si>
    <t xml:space="preserve">Thu nhập quy đổi (TNQĐ)</t>
  </si>
  <si>
    <t xml:space="preserve">Thu nhập tính thuế</t>
  </si>
  <si>
    <t xml:space="preserve">Đến 9,5trđ</t>
  </si>
  <si>
    <t xml:space="preserve">TNQĐ/0.95</t>
  </si>
  <si>
    <t xml:space="preserve">Từ 9,5trđ đến 27,5trđ</t>
  </si>
  <si>
    <t xml:space="preserve">(TNQĐ – 0.5)/0,9</t>
  </si>
  <si>
    <t xml:space="preserve">Từ 27,5trđ đến 51,5trđ</t>
  </si>
  <si>
    <t xml:space="preserve">(TNQĐ – 3,5)/0,8</t>
  </si>
  <si>
    <t xml:space="preserve">Từ 51,5trđ đến 79,5trđ</t>
  </si>
  <si>
    <t xml:space="preserve">(TNQĐ – 9.5)/0,7</t>
  </si>
  <si>
    <t xml:space="preserve">Trên 79,5trđ</t>
  </si>
  <si>
    <t xml:space="preserve">(TNQĐ – 14.5)/0,65</t>
  </si>
  <si>
    <t xml:space="preserve">Thuế thu nhập cá nhân</t>
  </si>
  <si>
    <t xml:space="preserve">
</t>
  </si>
  <si>
    <t xml:space="preserve">BẢNG TÍNH THUẾ THU NHẬP CÁ NHÂN CỦA NGƯỜI LAO ĐỘNG TỪ TIỀN LƯƠNG TIỀN CÔNG</t>
  </si>
  <si>
    <t xml:space="preserve">Phòng: Lao động - Tiền lương - Việc làm ; Trang:https://thuvienphapluat.vn/lao-dong-tien-luong</t>
  </si>
  <si>
    <t xml:space="preserve">Vui lòng nhập thông tin vào các trường 1,2, 3, 4, 5:</t>
  </si>
  <si>
    <t xml:space="preserve">Bạn đang làm việc tại vùng:</t>
  </si>
  <si>
    <t xml:space="preserve">(Vui lòng chọn vùng)</t>
  </si>
  <si>
    <t xml:space="preserve">Tổng thu nhập chịu thuế</t>
  </si>
  <si>
    <t xml:space="preserve">Mức lương đóng Bảo hiểm</t>
  </si>
  <si>
    <t xml:space="preserve">Số người phụ thuộc</t>
  </si>
  <si>
    <t xml:space="preserve">(lương đóng BHXH, BHYT)</t>
  </si>
  <si>
    <t xml:space="preserve">(lương đóng BHTN)</t>
  </si>
  <si>
    <t xml:space="preserve">Các khoản được trừ khác (nếu có)</t>
  </si>
  <si>
    <t xml:space="preserve">Lương</t>
  </si>
  <si>
    <t xml:space="preserve">Thực nhận</t>
  </si>
  <si>
    <t xml:space="preserve">Diễn giải</t>
  </si>
  <si>
    <t xml:space="preserve">Mức đóng</t>
  </si>
  <si>
    <t xml:space="preserve">Đến 10 triệu VNĐ </t>
  </si>
  <si>
    <t xml:space="preserve">Bảo hiểm y tế (1.5%) </t>
  </si>
  <si>
    <t xml:space="preserve">Trên 10 triệu VNĐ đến 30 triệu VNĐ </t>
  </si>
  <si>
    <t xml:space="preserve">Bảo hiểm thất nghiệp (1%) </t>
  </si>
  <si>
    <t xml:space="preserve">Trên 30 triệu VNĐ đến 60 triệu VNĐ </t>
  </si>
  <si>
    <t xml:space="preserve">Trên 60 triệu VNĐ đến 100 triệu VNĐ </t>
  </si>
  <si>
    <t xml:space="preserve">Thu nhập trước thuế </t>
  </si>
  <si>
    <t xml:space="preserve">Trên 100 triệu VNĐ </t>
  </si>
  <si>
    <t xml:space="preserve">Giảm trừ gia cảnh bản thân </t>
  </si>
  <si>
    <t xml:space="preserve">Giảm trừ gia cảnh người phụ thuộc (nếu có)</t>
  </si>
  <si>
    <t xml:space="preserve">Thu nhập tính thuế </t>
  </si>
  <si>
    <t xml:space="preserve">Mức tham chiếu</t>
  </si>
  <si>
    <t xml:space="preserve">Ghi chú:</t>
  </si>
  <si>
    <t xml:space="preserve">Căn cứ theo Nghị định 293/2025/NĐ-CP có hiệu lực từ 01/01/2026 quy định mức lương tối thiểu tháng và mức lương tối thiểu giờ như sau:</t>
  </si>
  <si>
    <t xml:space="preserve">Vùng</t>
  </si>
  <si>
    <t xml:space="preserve">Mức lương tối thiểu tháng</t>
  </si>
  <si>
    <t xml:space="preserve">Mức lương tối thiểu giờ</t>
  </si>
  <si>
    <t xml:space="preserve">(Đơn vị: đồng/tháng)</t>
  </si>
  <si>
    <t xml:space="preserve">(Đơn vị: đồng/giờ)</t>
  </si>
  <si>
    <t xml:space="preserve">Vùng 2</t>
  </si>
  <si>
    <t xml:space="preserve">Vùng 3</t>
  </si>
  <si>
    <t xml:space="preserve">Vùng 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</si>
</sst>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_(* #,##0.00_);_(* \(#,##0.00\);_(* \-??_);_(@_)"/>
    <numFmt numFmtId="167" formatCode="_(* #,##0_);_(* \(#,##0\);_(* \-??_);_(@_)"/>
    <numFmt numFmtId="168" formatCode="0%"/>
  </numFmts>
  <fonts count="42">
    <font>
      <sz val="12"/>
      <color theme="1"/>
      <name val="Times New Roman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7030A0"/>
      <name val="Times New Roman"/>
      <family val="1"/>
      <charset val="1"/>
    </font>
    <font>
      <b val="true"/>
      <sz val="20"/>
      <color rgb="FF002060"/>
      <name val="Times New Roman"/>
      <family val="1"/>
      <charset val="1"/>
    </font>
    <font>
      <b val="true"/>
      <i val="true"/>
      <sz val="16"/>
      <color theme="8" tint="-0.25"/>
      <name val="Times New Roman"/>
      <family val="1"/>
      <charset val="1"/>
    </font>
    <font>
      <sz val="14"/>
      <color theme="1"/>
      <name val="Times New Roman"/>
      <family val="1"/>
      <charset val="1"/>
    </font>
    <font>
      <b val="true"/>
      <i val="true"/>
      <sz val="14"/>
      <color rgb="FF00B050"/>
      <name val="Times New Roman"/>
      <family val="1"/>
      <charset val="1"/>
    </font>
    <font>
      <i val="true"/>
      <sz val="14"/>
      <color rgb="FFFF0000"/>
      <name val="Times New Roman"/>
      <family val="1"/>
      <charset val="1"/>
    </font>
    <font>
      <b val="true"/>
      <i val="true"/>
      <sz val="14"/>
      <color rgb="FFFF0000"/>
      <name val="Times New Roman"/>
      <family val="1"/>
      <charset val="1"/>
    </font>
    <font>
      <b val="true"/>
      <sz val="18"/>
      <color theme="8" tint="-0.25"/>
      <name val="Times New Roman"/>
      <family val="1"/>
      <charset val="1"/>
    </font>
    <font>
      <b val="true"/>
      <sz val="14"/>
      <color rgb="FFFF0000"/>
      <name val="Times New Roman"/>
      <family val="1"/>
      <charset val="1"/>
    </font>
    <font>
      <sz val="12"/>
      <color theme="0"/>
      <name val="Times New Roman"/>
      <family val="2"/>
      <charset val="1"/>
    </font>
    <font>
      <b val="true"/>
      <sz val="14"/>
      <color rgb="FF7030A0"/>
      <name val="Times New Roman"/>
      <family val="1"/>
      <charset val="1"/>
    </font>
    <font>
      <b val="true"/>
      <sz val="14"/>
      <color rgb="FFFFE3BB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3"/>
      <color theme="1"/>
      <name val="Times New Roman"/>
      <family val="2"/>
      <charset val="1"/>
    </font>
    <font>
      <sz val="13"/>
      <color theme="1"/>
      <name val="Times New Roman"/>
      <family val="1"/>
      <charset val="1"/>
    </font>
    <font>
      <b val="true"/>
      <sz val="11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b val="true"/>
      <i val="true"/>
      <sz val="12"/>
      <color rgb="FF00B050"/>
      <name val="Times New Roman"/>
      <family val="1"/>
      <charset val="1"/>
    </font>
    <font>
      <b val="true"/>
      <sz val="13"/>
      <color theme="1"/>
      <name val="Times New Roman"/>
      <family val="1"/>
      <charset val="1"/>
    </font>
    <font>
      <b val="true"/>
      <i val="true"/>
      <sz val="11"/>
      <color rgb="FFFF0000"/>
      <name val="Times New Roman"/>
      <family val="1"/>
      <charset val="1"/>
    </font>
    <font>
      <b val="true"/>
      <sz val="14"/>
      <color rgb="FF002060"/>
      <name val="Times New Roman"/>
      <family val="1"/>
      <charset val="1"/>
    </font>
    <font>
      <b val="true"/>
      <sz val="11"/>
      <color theme="1"/>
      <name val="Times New Roman"/>
      <family val="2"/>
      <charset val="1"/>
    </font>
    <font>
      <b val="true"/>
      <sz val="11"/>
      <color theme="1"/>
      <name val="Times New Roman"/>
      <family val="1"/>
      <charset val="1"/>
    </font>
    <font>
      <sz val="11"/>
      <color theme="1"/>
      <name val="Times New Roman"/>
      <family val="2"/>
      <charset val="1"/>
    </font>
    <font>
      <sz val="11"/>
      <color rgb="FF000000"/>
      <name val="Times New Roman"/>
      <family val="1"/>
      <charset val="1"/>
    </font>
    <font>
      <sz val="11"/>
      <color theme="1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sz val="11"/>
      <color theme="0"/>
      <name val="Times New Roman"/>
      <family val="2"/>
      <charset val="1"/>
    </font>
    <font>
      <b val="true"/>
      <sz val="13"/>
      <color rgb="FFFF0000"/>
      <name val="Times New Roman"/>
      <family val="2"/>
      <charset val="1"/>
    </font>
    <font>
      <b val="true"/>
      <sz val="13"/>
      <color theme="0"/>
      <name val="Times New Roman"/>
      <family val="1"/>
      <charset val="1"/>
    </font>
    <font>
      <b val="true"/>
      <i val="true"/>
      <sz val="13"/>
      <color theme="4" tint="-0.5"/>
      <name val="Times New Roman"/>
      <family val="2"/>
      <charset val="1"/>
    </font>
    <font>
      <b val="true"/>
      <i val="true"/>
      <sz val="11"/>
      <color rgb="FFFF0000"/>
      <name val="Times New Roman"/>
      <family val="2"/>
      <charset val="1"/>
    </font>
    <font>
      <b val="true"/>
      <sz val="11"/>
      <color rgb="FFFF0000"/>
      <name val="Times New Roman"/>
      <family val="2"/>
      <charset val="1"/>
    </font>
    <font>
      <b val="true"/>
      <i val="true"/>
      <sz val="11"/>
      <color rgb="FF00B050"/>
      <name val="Times New Roman"/>
      <family val="1"/>
      <charset val="1"/>
    </font>
    <font>
      <i val="true"/>
      <sz val="8"/>
      <color rgb="FF00B050"/>
      <name val="Times New Roman"/>
      <family val="1"/>
      <charset val="1"/>
    </font>
    <font>
      <b val="true"/>
      <i val="true"/>
      <u val="single"/>
      <sz val="11"/>
      <color theme="1"/>
      <name val="Times New Roman"/>
      <family val="2"/>
      <charset val="1"/>
    </font>
    <font>
      <b val="true"/>
      <sz val="12"/>
      <color theme="1"/>
      <name val="Times New Roman"/>
      <family val="2"/>
      <charset val="1"/>
    </font>
    <font>
      <i val="true"/>
      <sz val="11"/>
      <color rgb="FF03A6A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9" tint="0.7999"/>
        <bgColor rgb="FFDEEBF7"/>
      </patternFill>
    </fill>
    <fill>
      <patternFill patternType="solid">
        <fgColor theme="7" tint="0.7999"/>
        <bgColor rgb="FFFBE5D6"/>
      </patternFill>
    </fill>
    <fill>
      <patternFill patternType="solid">
        <fgColor theme="5" tint="0.7999"/>
        <bgColor rgb="FFFFE3BB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FE3BB"/>
        <bgColor rgb="FFFBE5D6"/>
      </patternFill>
    </fill>
    <fill>
      <patternFill patternType="solid">
        <fgColor rgb="FF007BFF"/>
        <bgColor rgb="FF3366FF"/>
      </patternFill>
    </fill>
    <fill>
      <patternFill patternType="solid">
        <fgColor theme="4" tint="0.7999"/>
        <bgColor rgb="FFE2F0D9"/>
      </patternFill>
    </fill>
    <fill>
      <patternFill patternType="solid">
        <fgColor theme="7" tint="0.5999"/>
        <bgColor rgb="FFFFE3BB"/>
      </patternFill>
    </fill>
    <fill>
      <patternFill patternType="solid">
        <fgColor theme="7" tint="0.3999"/>
        <bgColor rgb="FFFFE699"/>
      </patternFill>
    </fill>
    <fill>
      <patternFill patternType="solid">
        <fgColor theme="9" tint="0.5999"/>
        <bgColor rgb="FFE2F0D9"/>
      </patternFill>
    </fill>
    <fill>
      <patternFill patternType="solid">
        <fgColor theme="5" tint="0.3999"/>
        <bgColor rgb="FFFFD966"/>
      </patternFill>
    </fill>
    <fill>
      <patternFill patternType="solid">
        <fgColor theme="8" tint="0.3999"/>
        <bgColor rgb="FF969696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0"/>
      </bottom>
      <diagonal/>
    </border>
    <border diagonalUp="false" diagonalDown="false">
      <left style="thin">
        <color theme="0"/>
      </left>
      <right/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6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9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9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9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7" fillId="0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9" fillId="0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30" fillId="11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0" fillId="0" borderId="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31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6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7" fontId="27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7" fillId="6" borderId="0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7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7" fillId="6" borderId="0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7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36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27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7" fillId="13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7" fillId="11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7" fillId="1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0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9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3A6A1"/>
      <rgbColor rgb="FFC5E0B4"/>
      <rgbColor rgb="FF808080"/>
      <rgbColor rgb="FF8FAADC"/>
      <rgbColor rgb="FF7030A0"/>
      <rgbColor rgb="FFFFF2CC"/>
      <rgbColor rgb="FFDEEBF7"/>
      <rgbColor rgb="FF660066"/>
      <rgbColor rgb="FFFF8080"/>
      <rgbColor rgb="FF007BFF"/>
      <rgbColor rgb="FFFBE5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E3BB"/>
      <rgbColor rgb="FFE2F0D9"/>
      <rgbColor rgb="FFFFE6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2F5597"/>
      <rgbColor rgb="FF969696"/>
      <rgbColor rgb="FF002060"/>
      <rgbColor rgb="FF00B050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209520</xdr:colOff>
      <xdr:row>28</xdr:row>
      <xdr:rowOff>104760</xdr:rowOff>
    </xdr:from>
    <xdr:to>
      <xdr:col>2</xdr:col>
      <xdr:colOff>393840</xdr:colOff>
      <xdr:row>29</xdr:row>
      <xdr:rowOff>121320</xdr:rowOff>
    </xdr:to>
    <xdr:sp>
      <xdr:nvSpPr>
        <xdr:cNvPr id="1" name="TextBox 1"/>
        <xdr:cNvSpPr/>
      </xdr:nvSpPr>
      <xdr:spPr>
        <a:xfrm>
          <a:off x="4181400" y="700344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29</xdr:row>
      <xdr:rowOff>0</xdr:rowOff>
    </xdr:from>
    <xdr:to>
      <xdr:col>2</xdr:col>
      <xdr:colOff>393840</xdr:colOff>
      <xdr:row>30</xdr:row>
      <xdr:rowOff>16560</xdr:rowOff>
    </xdr:to>
    <xdr:sp>
      <xdr:nvSpPr>
        <xdr:cNvPr id="2" name="TextBox 2"/>
        <xdr:cNvSpPr/>
      </xdr:nvSpPr>
      <xdr:spPr>
        <a:xfrm>
          <a:off x="4181400" y="71463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29</xdr:row>
      <xdr:rowOff>0</xdr:rowOff>
    </xdr:from>
    <xdr:to>
      <xdr:col>2</xdr:col>
      <xdr:colOff>393840</xdr:colOff>
      <xdr:row>30</xdr:row>
      <xdr:rowOff>16560</xdr:rowOff>
    </xdr:to>
    <xdr:sp>
      <xdr:nvSpPr>
        <xdr:cNvPr id="3" name="TextBox 3"/>
        <xdr:cNvSpPr/>
      </xdr:nvSpPr>
      <xdr:spPr>
        <a:xfrm>
          <a:off x="4181400" y="71463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29</xdr:row>
      <xdr:rowOff>104760</xdr:rowOff>
    </xdr:from>
    <xdr:to>
      <xdr:col>2</xdr:col>
      <xdr:colOff>393840</xdr:colOff>
      <xdr:row>30</xdr:row>
      <xdr:rowOff>121320</xdr:rowOff>
    </xdr:to>
    <xdr:sp>
      <xdr:nvSpPr>
        <xdr:cNvPr id="4" name="TextBox 4"/>
        <xdr:cNvSpPr/>
      </xdr:nvSpPr>
      <xdr:spPr>
        <a:xfrm>
          <a:off x="4181400" y="72511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29</xdr:row>
      <xdr:rowOff>104760</xdr:rowOff>
    </xdr:from>
    <xdr:to>
      <xdr:col>2</xdr:col>
      <xdr:colOff>393840</xdr:colOff>
      <xdr:row>30</xdr:row>
      <xdr:rowOff>121320</xdr:rowOff>
    </xdr:to>
    <xdr:sp>
      <xdr:nvSpPr>
        <xdr:cNvPr id="5" name="TextBox 5"/>
        <xdr:cNvSpPr/>
      </xdr:nvSpPr>
      <xdr:spPr>
        <a:xfrm>
          <a:off x="4181400" y="72511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104760</xdr:rowOff>
    </xdr:from>
    <xdr:to>
      <xdr:col>2</xdr:col>
      <xdr:colOff>393840</xdr:colOff>
      <xdr:row>31</xdr:row>
      <xdr:rowOff>121320</xdr:rowOff>
    </xdr:to>
    <xdr:sp>
      <xdr:nvSpPr>
        <xdr:cNvPr id="6" name="TextBox 6"/>
        <xdr:cNvSpPr/>
      </xdr:nvSpPr>
      <xdr:spPr>
        <a:xfrm>
          <a:off x="4181400" y="74988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104760</xdr:rowOff>
    </xdr:from>
    <xdr:to>
      <xdr:col>2</xdr:col>
      <xdr:colOff>393840</xdr:colOff>
      <xdr:row>31</xdr:row>
      <xdr:rowOff>121320</xdr:rowOff>
    </xdr:to>
    <xdr:sp>
      <xdr:nvSpPr>
        <xdr:cNvPr id="7" name="TextBox 7"/>
        <xdr:cNvSpPr/>
      </xdr:nvSpPr>
      <xdr:spPr>
        <a:xfrm>
          <a:off x="4181400" y="74988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33</xdr:row>
      <xdr:rowOff>104760</xdr:rowOff>
    </xdr:from>
    <xdr:to>
      <xdr:col>2</xdr:col>
      <xdr:colOff>393840</xdr:colOff>
      <xdr:row>34</xdr:row>
      <xdr:rowOff>121320</xdr:rowOff>
    </xdr:to>
    <xdr:sp>
      <xdr:nvSpPr>
        <xdr:cNvPr id="8" name="TextBox 8"/>
        <xdr:cNvSpPr/>
      </xdr:nvSpPr>
      <xdr:spPr>
        <a:xfrm>
          <a:off x="4181400" y="8241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29</xdr:row>
      <xdr:rowOff>104760</xdr:rowOff>
    </xdr:from>
    <xdr:to>
      <xdr:col>2</xdr:col>
      <xdr:colOff>393840</xdr:colOff>
      <xdr:row>30</xdr:row>
      <xdr:rowOff>121320</xdr:rowOff>
    </xdr:to>
    <xdr:sp>
      <xdr:nvSpPr>
        <xdr:cNvPr id="9" name="TextBox 10"/>
        <xdr:cNvSpPr/>
      </xdr:nvSpPr>
      <xdr:spPr>
        <a:xfrm>
          <a:off x="4181400" y="72511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0</xdr:rowOff>
    </xdr:from>
    <xdr:to>
      <xdr:col>2</xdr:col>
      <xdr:colOff>393840</xdr:colOff>
      <xdr:row>31</xdr:row>
      <xdr:rowOff>16560</xdr:rowOff>
    </xdr:to>
    <xdr:sp>
      <xdr:nvSpPr>
        <xdr:cNvPr id="10" name="TextBox 11"/>
        <xdr:cNvSpPr/>
      </xdr:nvSpPr>
      <xdr:spPr>
        <a:xfrm>
          <a:off x="4181400" y="739404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0</xdr:rowOff>
    </xdr:from>
    <xdr:to>
      <xdr:col>2</xdr:col>
      <xdr:colOff>393840</xdr:colOff>
      <xdr:row>31</xdr:row>
      <xdr:rowOff>16560</xdr:rowOff>
    </xdr:to>
    <xdr:sp>
      <xdr:nvSpPr>
        <xdr:cNvPr id="11" name="TextBox 12"/>
        <xdr:cNvSpPr/>
      </xdr:nvSpPr>
      <xdr:spPr>
        <a:xfrm>
          <a:off x="4181400" y="739404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104760</xdr:rowOff>
    </xdr:from>
    <xdr:to>
      <xdr:col>2</xdr:col>
      <xdr:colOff>393840</xdr:colOff>
      <xdr:row>31</xdr:row>
      <xdr:rowOff>121320</xdr:rowOff>
    </xdr:to>
    <xdr:sp>
      <xdr:nvSpPr>
        <xdr:cNvPr id="12" name="TextBox 13"/>
        <xdr:cNvSpPr/>
      </xdr:nvSpPr>
      <xdr:spPr>
        <a:xfrm>
          <a:off x="4181400" y="74988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104760</xdr:rowOff>
    </xdr:from>
    <xdr:to>
      <xdr:col>2</xdr:col>
      <xdr:colOff>393840</xdr:colOff>
      <xdr:row>31</xdr:row>
      <xdr:rowOff>121320</xdr:rowOff>
    </xdr:to>
    <xdr:sp>
      <xdr:nvSpPr>
        <xdr:cNvPr id="13" name="TextBox 14"/>
        <xdr:cNvSpPr/>
      </xdr:nvSpPr>
      <xdr:spPr>
        <a:xfrm>
          <a:off x="4181400" y="74988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30</xdr:row>
      <xdr:rowOff>104760</xdr:rowOff>
    </xdr:from>
    <xdr:to>
      <xdr:col>2</xdr:col>
      <xdr:colOff>393840</xdr:colOff>
      <xdr:row>31</xdr:row>
      <xdr:rowOff>121320</xdr:rowOff>
    </xdr:to>
    <xdr:sp>
      <xdr:nvSpPr>
        <xdr:cNvPr id="14" name="TextBox 15"/>
        <xdr:cNvSpPr/>
      </xdr:nvSpPr>
      <xdr:spPr>
        <a:xfrm>
          <a:off x="4181400" y="74988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31</xdr:row>
      <xdr:rowOff>0</xdr:rowOff>
    </xdr:from>
    <xdr:to>
      <xdr:col>2</xdr:col>
      <xdr:colOff>393840</xdr:colOff>
      <xdr:row>32</xdr:row>
      <xdr:rowOff>16560</xdr:rowOff>
    </xdr:to>
    <xdr:sp>
      <xdr:nvSpPr>
        <xdr:cNvPr id="15" name="TextBox 16"/>
        <xdr:cNvSpPr/>
      </xdr:nvSpPr>
      <xdr:spPr>
        <a:xfrm>
          <a:off x="4181400" y="76417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31</xdr:row>
      <xdr:rowOff>0</xdr:rowOff>
    </xdr:from>
    <xdr:to>
      <xdr:col>2</xdr:col>
      <xdr:colOff>393840</xdr:colOff>
      <xdr:row>32</xdr:row>
      <xdr:rowOff>16560</xdr:rowOff>
    </xdr:to>
    <xdr:sp>
      <xdr:nvSpPr>
        <xdr:cNvPr id="16" name="TextBox 17"/>
        <xdr:cNvSpPr/>
      </xdr:nvSpPr>
      <xdr:spPr>
        <a:xfrm>
          <a:off x="4181400" y="76417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31</xdr:row>
      <xdr:rowOff>104760</xdr:rowOff>
    </xdr:from>
    <xdr:to>
      <xdr:col>2</xdr:col>
      <xdr:colOff>393840</xdr:colOff>
      <xdr:row>32</xdr:row>
      <xdr:rowOff>121320</xdr:rowOff>
    </xdr:to>
    <xdr:sp>
      <xdr:nvSpPr>
        <xdr:cNvPr id="17" name="TextBox 18"/>
        <xdr:cNvSpPr/>
      </xdr:nvSpPr>
      <xdr:spPr>
        <a:xfrm>
          <a:off x="4181400" y="7746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31</xdr:row>
      <xdr:rowOff>104760</xdr:rowOff>
    </xdr:from>
    <xdr:to>
      <xdr:col>2</xdr:col>
      <xdr:colOff>393840</xdr:colOff>
      <xdr:row>32</xdr:row>
      <xdr:rowOff>121320</xdr:rowOff>
    </xdr:to>
    <xdr:sp>
      <xdr:nvSpPr>
        <xdr:cNvPr id="18" name="TextBox 19"/>
        <xdr:cNvSpPr/>
      </xdr:nvSpPr>
      <xdr:spPr>
        <a:xfrm>
          <a:off x="4181400" y="7746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31</xdr:row>
      <xdr:rowOff>104760</xdr:rowOff>
    </xdr:from>
    <xdr:to>
      <xdr:col>2</xdr:col>
      <xdr:colOff>393840</xdr:colOff>
      <xdr:row>32</xdr:row>
      <xdr:rowOff>121320</xdr:rowOff>
    </xdr:to>
    <xdr:sp>
      <xdr:nvSpPr>
        <xdr:cNvPr id="19" name="TextBox 20"/>
        <xdr:cNvSpPr/>
      </xdr:nvSpPr>
      <xdr:spPr>
        <a:xfrm>
          <a:off x="4181400" y="7746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31</xdr:row>
      <xdr:rowOff>104760</xdr:rowOff>
    </xdr:from>
    <xdr:to>
      <xdr:col>2</xdr:col>
      <xdr:colOff>393840</xdr:colOff>
      <xdr:row>32</xdr:row>
      <xdr:rowOff>121320</xdr:rowOff>
    </xdr:to>
    <xdr:sp>
      <xdr:nvSpPr>
        <xdr:cNvPr id="20" name="TextBox 21"/>
        <xdr:cNvSpPr/>
      </xdr:nvSpPr>
      <xdr:spPr>
        <a:xfrm>
          <a:off x="4181400" y="7746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32</xdr:row>
      <xdr:rowOff>0</xdr:rowOff>
    </xdr:from>
    <xdr:to>
      <xdr:col>2</xdr:col>
      <xdr:colOff>393840</xdr:colOff>
      <xdr:row>33</xdr:row>
      <xdr:rowOff>16920</xdr:rowOff>
    </xdr:to>
    <xdr:sp>
      <xdr:nvSpPr>
        <xdr:cNvPr id="21" name="TextBox 22"/>
        <xdr:cNvSpPr/>
      </xdr:nvSpPr>
      <xdr:spPr>
        <a:xfrm>
          <a:off x="4181400" y="78894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32</xdr:row>
      <xdr:rowOff>0</xdr:rowOff>
    </xdr:from>
    <xdr:to>
      <xdr:col>2</xdr:col>
      <xdr:colOff>393840</xdr:colOff>
      <xdr:row>33</xdr:row>
      <xdr:rowOff>16920</xdr:rowOff>
    </xdr:to>
    <xdr:sp>
      <xdr:nvSpPr>
        <xdr:cNvPr id="22" name="TextBox 23"/>
        <xdr:cNvSpPr/>
      </xdr:nvSpPr>
      <xdr:spPr>
        <a:xfrm>
          <a:off x="4181400" y="788940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32</xdr:row>
      <xdr:rowOff>104760</xdr:rowOff>
    </xdr:from>
    <xdr:to>
      <xdr:col>2</xdr:col>
      <xdr:colOff>393840</xdr:colOff>
      <xdr:row>33</xdr:row>
      <xdr:rowOff>121680</xdr:rowOff>
    </xdr:to>
    <xdr:sp>
      <xdr:nvSpPr>
        <xdr:cNvPr id="23" name="TextBox 24"/>
        <xdr:cNvSpPr/>
      </xdr:nvSpPr>
      <xdr:spPr>
        <a:xfrm>
          <a:off x="4181400" y="7994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32</xdr:row>
      <xdr:rowOff>104760</xdr:rowOff>
    </xdr:from>
    <xdr:to>
      <xdr:col>2</xdr:col>
      <xdr:colOff>393840</xdr:colOff>
      <xdr:row>33</xdr:row>
      <xdr:rowOff>121680</xdr:rowOff>
    </xdr:to>
    <xdr:sp>
      <xdr:nvSpPr>
        <xdr:cNvPr id="24" name="TextBox 25"/>
        <xdr:cNvSpPr/>
      </xdr:nvSpPr>
      <xdr:spPr>
        <a:xfrm>
          <a:off x="4181400" y="7994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32</xdr:row>
      <xdr:rowOff>104760</xdr:rowOff>
    </xdr:from>
    <xdr:to>
      <xdr:col>2</xdr:col>
      <xdr:colOff>393840</xdr:colOff>
      <xdr:row>33</xdr:row>
      <xdr:rowOff>121680</xdr:rowOff>
    </xdr:to>
    <xdr:sp>
      <xdr:nvSpPr>
        <xdr:cNvPr id="25" name="TextBox 26"/>
        <xdr:cNvSpPr/>
      </xdr:nvSpPr>
      <xdr:spPr>
        <a:xfrm>
          <a:off x="4181400" y="7994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32</xdr:row>
      <xdr:rowOff>104760</xdr:rowOff>
    </xdr:from>
    <xdr:to>
      <xdr:col>2</xdr:col>
      <xdr:colOff>393840</xdr:colOff>
      <xdr:row>33</xdr:row>
      <xdr:rowOff>121680</xdr:rowOff>
    </xdr:to>
    <xdr:sp>
      <xdr:nvSpPr>
        <xdr:cNvPr id="26" name="TextBox 27"/>
        <xdr:cNvSpPr/>
      </xdr:nvSpPr>
      <xdr:spPr>
        <a:xfrm>
          <a:off x="4181400" y="7994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33</xdr:row>
      <xdr:rowOff>0</xdr:rowOff>
    </xdr:from>
    <xdr:to>
      <xdr:col>2</xdr:col>
      <xdr:colOff>393840</xdr:colOff>
      <xdr:row>34</xdr:row>
      <xdr:rowOff>16560</xdr:rowOff>
    </xdr:to>
    <xdr:sp>
      <xdr:nvSpPr>
        <xdr:cNvPr id="27" name="TextBox 28"/>
        <xdr:cNvSpPr/>
      </xdr:nvSpPr>
      <xdr:spPr>
        <a:xfrm>
          <a:off x="4181400" y="81367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33</xdr:row>
      <xdr:rowOff>0</xdr:rowOff>
    </xdr:from>
    <xdr:to>
      <xdr:col>2</xdr:col>
      <xdr:colOff>393840</xdr:colOff>
      <xdr:row>34</xdr:row>
      <xdr:rowOff>16560</xdr:rowOff>
    </xdr:to>
    <xdr:sp>
      <xdr:nvSpPr>
        <xdr:cNvPr id="28" name="TextBox 29"/>
        <xdr:cNvSpPr/>
      </xdr:nvSpPr>
      <xdr:spPr>
        <a:xfrm>
          <a:off x="4181400" y="81367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33</xdr:row>
      <xdr:rowOff>104760</xdr:rowOff>
    </xdr:from>
    <xdr:to>
      <xdr:col>2</xdr:col>
      <xdr:colOff>393840</xdr:colOff>
      <xdr:row>34</xdr:row>
      <xdr:rowOff>121320</xdr:rowOff>
    </xdr:to>
    <xdr:sp>
      <xdr:nvSpPr>
        <xdr:cNvPr id="29" name="TextBox 30"/>
        <xdr:cNvSpPr/>
      </xdr:nvSpPr>
      <xdr:spPr>
        <a:xfrm>
          <a:off x="4181400" y="8241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33</xdr:row>
      <xdr:rowOff>104760</xdr:rowOff>
    </xdr:from>
    <xdr:to>
      <xdr:col>2</xdr:col>
      <xdr:colOff>393840</xdr:colOff>
      <xdr:row>34</xdr:row>
      <xdr:rowOff>121320</xdr:rowOff>
    </xdr:to>
    <xdr:sp>
      <xdr:nvSpPr>
        <xdr:cNvPr id="30" name="TextBox 31"/>
        <xdr:cNvSpPr/>
      </xdr:nvSpPr>
      <xdr:spPr>
        <a:xfrm>
          <a:off x="4181400" y="8241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209520</xdr:colOff>
      <xdr:row>33</xdr:row>
      <xdr:rowOff>104760</xdr:rowOff>
    </xdr:from>
    <xdr:to>
      <xdr:col>2</xdr:col>
      <xdr:colOff>393840</xdr:colOff>
      <xdr:row>34</xdr:row>
      <xdr:rowOff>121320</xdr:rowOff>
    </xdr:to>
    <xdr:sp>
      <xdr:nvSpPr>
        <xdr:cNvPr id="31" name="TextBox 32"/>
        <xdr:cNvSpPr/>
      </xdr:nvSpPr>
      <xdr:spPr>
        <a:xfrm>
          <a:off x="4181400" y="82414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209520</xdr:colOff>
      <xdr:row>14</xdr:row>
      <xdr:rowOff>104760</xdr:rowOff>
    </xdr:from>
    <xdr:to>
      <xdr:col>7</xdr:col>
      <xdr:colOff>393840</xdr:colOff>
      <xdr:row>15</xdr:row>
      <xdr:rowOff>178560</xdr:rowOff>
    </xdr:to>
    <xdr:sp>
      <xdr:nvSpPr>
        <xdr:cNvPr id="32" name="TextBox 2"/>
        <xdr:cNvSpPr/>
      </xdr:nvSpPr>
      <xdr:spPr>
        <a:xfrm>
          <a:off x="9468000" y="3152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1133640</xdr:colOff>
      <xdr:row>5</xdr:row>
      <xdr:rowOff>171360</xdr:rowOff>
    </xdr:from>
    <xdr:to>
      <xdr:col>8</xdr:col>
      <xdr:colOff>104400</xdr:colOff>
      <xdr:row>8</xdr:row>
      <xdr:rowOff>15840</xdr:rowOff>
    </xdr:to>
    <xdr:sp>
      <xdr:nvSpPr>
        <xdr:cNvPr id="33" name="TextBox 3"/>
        <xdr:cNvSpPr/>
      </xdr:nvSpPr>
      <xdr:spPr>
        <a:xfrm>
          <a:off x="6791400" y="1504800"/>
          <a:ext cx="3447720" cy="416160"/>
        </a:xfrm>
        <a:prstGeom prst="rect">
          <a:avLst/>
        </a:prstGeom>
        <a:solidFill>
          <a:srgbClr val="FFE3BB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spAutoFit/>
        </a:bodyPr>
        <a:p>
          <a:pPr>
            <a:lnSpc>
              <a:spcPct val="100000"/>
            </a:lnSpc>
          </a:pPr>
          <a:r>
            <a:rPr lang="en-US" sz="1100" b="0" i="1" u="none" strike="noStrike">
              <a:solidFill>
                <a:srgbClr val="03A6A1"/>
              </a:solidFill>
              <a:effectLst/>
              <a:uFillTx/>
              <a:latin typeface="Times New Roman"/>
            </a:rPr>
            <a:t>Lương đóng BHTN tối đa = 20 x lương tối thiểu vùng. </a:t>
          </a:r>
          <a:endParaRPr lang="vi-VN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100" b="0" i="1" u="none" strike="noStrike">
              <a:solidFill>
                <a:srgbClr val="03A6A1"/>
              </a:solidFill>
              <a:effectLst/>
              <a:uFillTx/>
              <a:latin typeface="Times New Roman"/>
            </a:rPr>
            <a:t>Lương đóng BHYT, BHXH tối đa = 20 x mức tham chiếu</a:t>
          </a:r>
          <a:endParaRPr lang="vi-VN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7</xdr:col>
      <xdr:colOff>209520</xdr:colOff>
      <xdr:row>14</xdr:row>
      <xdr:rowOff>104760</xdr:rowOff>
    </xdr:from>
    <xdr:to>
      <xdr:col>7</xdr:col>
      <xdr:colOff>393840</xdr:colOff>
      <xdr:row>15</xdr:row>
      <xdr:rowOff>178560</xdr:rowOff>
    </xdr:to>
    <xdr:sp>
      <xdr:nvSpPr>
        <xdr:cNvPr id="34" name="TextBox 4"/>
        <xdr:cNvSpPr/>
      </xdr:nvSpPr>
      <xdr:spPr>
        <a:xfrm>
          <a:off x="9468000" y="3152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9"/>
  <sheetViews>
    <sheetView showFormulas="false" showGridLines="true" showRowColHeaders="true" showZeros="true" rightToLeft="false" tabSelected="true" showOutlineSymbols="true" defaultGridColor="true" view="normal" topLeftCell="C1" colorId="64" zoomScale="85" zoomScaleNormal="85" zoomScalePageLayoutView="100" workbookViewId="0">
      <selection pane="topLeft" activeCell="C5" activeCellId="0" sqref="C5"/>
    </sheetView>
  </sheetViews>
  <sheetFormatPr defaultColWidth="9.00390625" defaultRowHeight="15.75" customHeight="false" zeroHeight="tru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32.13"/>
    <col collapsed="false" customWidth="true" hidden="false" outlineLevel="0" max="3" min="3" style="1" width="14.13"/>
    <col collapsed="false" customWidth="true" hidden="false" outlineLevel="0" max="4" min="4" style="1" width="15.12"/>
    <col collapsed="false" customWidth="true" hidden="false" outlineLevel="0" max="5" min="5" style="1" width="24.25"/>
    <col collapsed="false" customWidth="true" hidden="false" outlineLevel="0" max="6" min="6" style="1" width="16.25"/>
    <col collapsed="false" customWidth="true" hidden="false" outlineLevel="0" max="7" min="7" style="1" width="43.63"/>
    <col collapsed="false" customWidth="false" hidden="false" outlineLevel="0" max="8" min="8" style="1" width="9"/>
    <col collapsed="false" customWidth="true" hidden="false" outlineLevel="0" max="9" min="9" style="1" width="20"/>
    <col collapsed="false" customWidth="true" hidden="false" outlineLevel="0" max="10" min="10" style="1" width="32.13"/>
    <col collapsed="false" customWidth="true" hidden="false" outlineLevel="0" max="11" min="11" style="1" width="17.75"/>
    <col collapsed="false" customWidth="true" hidden="false" outlineLevel="0" max="12" min="12" style="1" width="13.88"/>
    <col collapsed="false" customWidth="true" hidden="false" outlineLevel="0" max="13" min="13" style="1" width="24.25"/>
    <col collapsed="false" customWidth="true" hidden="false" outlineLevel="0" max="14" min="14" style="1" width="23.13"/>
    <col collapsed="false" customWidth="true" hidden="false" outlineLevel="0" max="15" min="15" style="1" width="29.63"/>
    <col collapsed="false" customWidth="false" hidden="false" outlineLevel="0" max="16384" min="16" style="1" width="9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I1" s="3" t="s">
        <v>1</v>
      </c>
      <c r="J1" s="3"/>
      <c r="K1" s="3"/>
      <c r="L1" s="3"/>
      <c r="M1" s="3"/>
      <c r="N1" s="3"/>
      <c r="O1" s="3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  <c r="I2" s="3"/>
      <c r="J2" s="3"/>
      <c r="K2" s="3"/>
      <c r="L2" s="3"/>
      <c r="M2" s="3"/>
      <c r="N2" s="3"/>
      <c r="O2" s="3"/>
    </row>
    <row r="3" customFormat="false" ht="15.75" hidden="false" customHeight="true" outlineLevel="0" collapsed="false">
      <c r="A3" s="2"/>
      <c r="B3" s="2"/>
      <c r="C3" s="2"/>
      <c r="D3" s="2"/>
      <c r="E3" s="2"/>
      <c r="F3" s="2"/>
      <c r="G3" s="2"/>
      <c r="I3" s="3"/>
      <c r="J3" s="3"/>
      <c r="K3" s="3"/>
      <c r="L3" s="3"/>
      <c r="M3" s="3"/>
      <c r="N3" s="3"/>
      <c r="O3" s="3"/>
    </row>
    <row r="4" customFormat="false" ht="33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5"/>
      <c r="I4" s="4" t="s">
        <v>2</v>
      </c>
      <c r="J4" s="4"/>
      <c r="K4" s="4"/>
      <c r="L4" s="4"/>
      <c r="M4" s="4"/>
      <c r="N4" s="4"/>
      <c r="O4" s="4"/>
    </row>
    <row r="5" s="8" customFormat="true" ht="17.35" hidden="false" customHeight="false" outlineLevel="0" collapsed="false">
      <c r="A5" s="6"/>
      <c r="B5" s="6" t="s">
        <v>3</v>
      </c>
      <c r="C5" s="7" t="n">
        <v>47000000</v>
      </c>
      <c r="D5" s="6"/>
      <c r="E5" s="6"/>
      <c r="F5" s="6"/>
      <c r="G5" s="6"/>
      <c r="I5" s="6"/>
      <c r="J5" s="6" t="s">
        <v>4</v>
      </c>
      <c r="K5" s="9" t="n">
        <v>40528500</v>
      </c>
      <c r="L5" s="6"/>
      <c r="M5" s="6"/>
      <c r="N5" s="6"/>
      <c r="O5" s="6"/>
    </row>
    <row r="6" s="8" customFormat="true" ht="17.35" hidden="false" customHeight="false" outlineLevel="0" collapsed="false">
      <c r="A6" s="6"/>
      <c r="B6" s="6" t="s">
        <v>5</v>
      </c>
      <c r="C6" s="7" t="n">
        <v>47000000</v>
      </c>
      <c r="D6" s="10"/>
      <c r="E6" s="6"/>
      <c r="F6" s="6"/>
      <c r="G6" s="6"/>
      <c r="I6" s="6"/>
      <c r="J6" s="6" t="s">
        <v>5</v>
      </c>
      <c r="K6" s="9" t="s">
        <v>6</v>
      </c>
      <c r="L6" s="11"/>
      <c r="M6" s="12" t="s">
        <v>7</v>
      </c>
      <c r="N6" s="12"/>
      <c r="O6" s="12"/>
    </row>
    <row r="7" s="8" customFormat="true" ht="17.35" hidden="false" customHeight="false" outlineLevel="0" collapsed="false">
      <c r="A7" s="6"/>
      <c r="B7" s="6" t="s">
        <v>8</v>
      </c>
      <c r="C7" s="13" t="n">
        <v>1</v>
      </c>
      <c r="D7" s="6"/>
      <c r="E7" s="6"/>
      <c r="F7" s="6"/>
      <c r="G7" s="6"/>
      <c r="I7" s="6"/>
      <c r="J7" s="6" t="s">
        <v>8</v>
      </c>
      <c r="K7" s="14" t="n">
        <v>1</v>
      </c>
      <c r="L7" s="6"/>
      <c r="M7" s="15"/>
      <c r="N7" s="6"/>
      <c r="O7" s="6"/>
    </row>
    <row r="8" s="8" customFormat="true" ht="17.35" hidden="false" customHeight="false" outlineLevel="0" collapsed="false">
      <c r="A8" s="6"/>
      <c r="B8" s="6" t="s">
        <v>9</v>
      </c>
      <c r="C8" s="13" t="s">
        <v>10</v>
      </c>
      <c r="D8" s="16" t="n">
        <f aca="false">VLOOKUP(C8, 'Thuế TNCN'!C31:E34, 2, 0)</f>
        <v>5310000</v>
      </c>
      <c r="E8" s="6"/>
      <c r="F8" s="6"/>
      <c r="G8" s="6"/>
      <c r="I8" s="6"/>
      <c r="J8" s="6" t="s">
        <v>9</v>
      </c>
      <c r="K8" s="14" t="s">
        <v>10</v>
      </c>
      <c r="L8" s="16" t="n">
        <f aca="false">VLOOKUP(K8, 'Thuế TNCN'!C31:E34, 2, 0)</f>
        <v>5310000</v>
      </c>
      <c r="M8" s="6"/>
      <c r="N8" s="6"/>
      <c r="O8" s="6"/>
    </row>
    <row r="9" s="8" customFormat="true" ht="17.35" hidden="false" customHeight="false" outlineLevel="0" collapsed="false">
      <c r="A9" s="6"/>
      <c r="B9" s="6" t="s">
        <v>11</v>
      </c>
      <c r="C9" s="13"/>
      <c r="D9" s="6"/>
      <c r="E9" s="6"/>
      <c r="F9" s="6"/>
      <c r="G9" s="6"/>
      <c r="I9" s="6"/>
      <c r="J9" s="6" t="s">
        <v>11</v>
      </c>
      <c r="K9" s="14"/>
      <c r="L9" s="6"/>
      <c r="M9" s="6"/>
      <c r="N9" s="6"/>
      <c r="O9" s="6"/>
    </row>
    <row r="10" s="8" customFormat="true" ht="17.35" hidden="false" customHeight="false" outlineLevel="0" collapsed="false">
      <c r="A10" s="6"/>
      <c r="B10" s="6" t="s">
        <v>12</v>
      </c>
      <c r="C10" s="15" t="n">
        <v>2530000</v>
      </c>
      <c r="D10" s="6"/>
      <c r="E10" s="6"/>
      <c r="F10" s="6"/>
      <c r="G10" s="6"/>
      <c r="I10" s="6"/>
      <c r="J10" s="6" t="s">
        <v>12</v>
      </c>
      <c r="K10" s="15" t="n">
        <f aca="false">C10</f>
        <v>2530000</v>
      </c>
      <c r="L10" s="6"/>
      <c r="M10" s="6"/>
      <c r="N10" s="6"/>
      <c r="O10" s="6"/>
    </row>
    <row r="11" s="8" customFormat="true" ht="22.05" hidden="false" customHeight="false" outlineLevel="0" collapsed="false">
      <c r="A11" s="6"/>
      <c r="B11" s="17" t="s">
        <v>13</v>
      </c>
      <c r="C11" s="6"/>
      <c r="D11" s="6"/>
      <c r="E11" s="6"/>
      <c r="F11" s="6"/>
      <c r="G11" s="6"/>
      <c r="I11" s="6"/>
      <c r="J11" s="17" t="s">
        <v>13</v>
      </c>
      <c r="K11" s="6"/>
      <c r="L11" s="6"/>
      <c r="M11" s="6"/>
      <c r="N11" s="6"/>
      <c r="O11" s="6"/>
    </row>
    <row r="12" customFormat="false" ht="24.75" hidden="false" customHeight="true" outlineLevel="0" collapsed="false">
      <c r="A12" s="18"/>
      <c r="B12" s="18"/>
      <c r="C12" s="19" t="s">
        <v>14</v>
      </c>
      <c r="D12" s="19" t="s">
        <v>15</v>
      </c>
      <c r="E12" s="19" t="s">
        <v>16</v>
      </c>
      <c r="F12" s="19" t="s">
        <v>17</v>
      </c>
      <c r="G12" s="18"/>
      <c r="I12" s="18"/>
      <c r="J12" s="18"/>
      <c r="K12" s="19" t="s">
        <v>17</v>
      </c>
      <c r="L12" s="19" t="s">
        <v>15</v>
      </c>
      <c r="M12" s="19" t="s">
        <v>16</v>
      </c>
      <c r="N12" s="19" t="s">
        <v>14</v>
      </c>
      <c r="O12" s="20" t="s">
        <v>18</v>
      </c>
    </row>
    <row r="13" customFormat="false" ht="24.75" hidden="false" customHeight="true" outlineLevel="0" collapsed="false">
      <c r="A13" s="18"/>
      <c r="B13" s="18"/>
      <c r="C13" s="21" t="n">
        <f aca="false">C5</f>
        <v>47000000</v>
      </c>
      <c r="D13" s="21" t="n">
        <f aca="false">C17+C18+C19</f>
        <v>4935000</v>
      </c>
      <c r="E13" s="21" t="n">
        <f aca="false">C35</f>
        <v>1536500</v>
      </c>
      <c r="F13" s="21" t="n">
        <f aca="false">C25</f>
        <v>40528500</v>
      </c>
      <c r="G13" s="18"/>
      <c r="I13" s="18"/>
      <c r="J13" s="18"/>
      <c r="K13" s="21" t="n">
        <f aca="false">K5</f>
        <v>40528500</v>
      </c>
      <c r="L13" s="21" t="n">
        <f aca="false">K23+K24+K25</f>
        <v>4935000</v>
      </c>
      <c r="M13" s="21" t="n">
        <f aca="false">K35</f>
        <v>1536500</v>
      </c>
      <c r="N13" s="21" t="n">
        <f aca="false">K26</f>
        <v>47000000</v>
      </c>
      <c r="O13" s="22" t="n">
        <f aca="false">(K16 + K21) / (1 - 8% - 1.5% - 1%)</f>
        <v>47000000</v>
      </c>
    </row>
    <row r="14" customFormat="false" ht="19.5" hidden="false" customHeight="true" outlineLevel="0" collapsed="false">
      <c r="A14" s="18"/>
      <c r="B14" s="18"/>
      <c r="C14" s="23"/>
      <c r="D14" s="23"/>
      <c r="E14" s="23"/>
      <c r="F14" s="18"/>
      <c r="G14" s="18"/>
      <c r="I14" s="18"/>
      <c r="J14" s="18"/>
      <c r="K14" s="23"/>
      <c r="L14" s="23"/>
      <c r="M14" s="23"/>
      <c r="N14" s="18"/>
      <c r="O14" s="18"/>
    </row>
    <row r="15" customFormat="false" ht="24.75" hidden="false" customHeight="true" outlineLevel="0" collapsed="false">
      <c r="A15" s="18"/>
      <c r="B15" s="24" t="s">
        <v>19</v>
      </c>
      <c r="C15" s="24"/>
      <c r="D15" s="18"/>
      <c r="E15" s="24" t="s">
        <v>20</v>
      </c>
      <c r="F15" s="24"/>
      <c r="G15" s="18"/>
      <c r="I15" s="18"/>
      <c r="J15" s="24" t="s">
        <v>19</v>
      </c>
      <c r="K15" s="24"/>
      <c r="L15" s="25"/>
      <c r="M15" s="24" t="s">
        <v>20</v>
      </c>
      <c r="N15" s="24"/>
      <c r="O15" s="18"/>
    </row>
    <row r="16" customFormat="false" ht="19.5" hidden="false" customHeight="true" outlineLevel="0" collapsed="false">
      <c r="A16" s="18"/>
      <c r="B16" s="26" t="s">
        <v>3</v>
      </c>
      <c r="C16" s="27" t="n">
        <f aca="false">C5</f>
        <v>47000000</v>
      </c>
      <c r="D16" s="28"/>
      <c r="E16" s="29" t="str">
        <f aca="false">B16</f>
        <v>Lương Gross:</v>
      </c>
      <c r="F16" s="30" t="n">
        <f aca="false">C16</f>
        <v>47000000</v>
      </c>
      <c r="G16" s="18"/>
      <c r="I16" s="18"/>
      <c r="J16" s="26" t="s">
        <v>4</v>
      </c>
      <c r="K16" s="27" t="n">
        <f aca="false">K5</f>
        <v>40528500</v>
      </c>
      <c r="L16" s="28"/>
      <c r="M16" s="29" t="str">
        <f aca="false">J26</f>
        <v>Lương Gross:</v>
      </c>
      <c r="N16" s="30" t="n">
        <f aca="false">K26</f>
        <v>47000000</v>
      </c>
      <c r="O16" s="18"/>
    </row>
    <row r="17" customFormat="false" ht="19.5" hidden="false" customHeight="true" outlineLevel="0" collapsed="false">
      <c r="A17" s="31" t="str">
        <f aca="false">IF(C6 &gt; 20*C10,
"Mức đóng BHYT, BHXH max = 20 x Mức tham chiếu, Mức đóng BHTN max = 20 x Mức lương tối thiểu vùng",
"")</f>
        <v/>
      </c>
      <c r="B17" s="32" t="s">
        <v>21</v>
      </c>
      <c r="C17" s="33" t="n">
        <f aca="false">IF(C6=0, 0, MIN(C6, 20*C10)*8%)</f>
        <v>3760000</v>
      </c>
      <c r="D17" s="28"/>
      <c r="E17" s="28" t="s">
        <v>22</v>
      </c>
      <c r="F17" s="34" t="n">
        <f aca="false">IF(C6=0, 0, MIN(C6, 20*C10)*17%)</f>
        <v>7990000</v>
      </c>
      <c r="G17" s="18"/>
      <c r="I17" s="31" t="str">
        <f aca="false">IF(K6 &gt; 20*K10,
"Mức đóng BHYT, BHXH max = 20 x Mức tham chiếu, Mức đóng BHTN max = 20 x Mức lương tối thiểu vùng",
"")</f>
        <v>Mức đóng BHYT, BHXH max = 20 x Mức tham chiếu, Mức đóng BHTN max = 20 x Mức lương tối thiểu vùng</v>
      </c>
      <c r="J17" s="32" t="s">
        <v>23</v>
      </c>
      <c r="K17" s="33" t="n">
        <f aca="false">C21</f>
        <v>15500000</v>
      </c>
      <c r="L17" s="28"/>
      <c r="M17" s="28" t="s">
        <v>22</v>
      </c>
      <c r="N17" s="34" t="n">
        <f aca="false">IF(K6="Trên lương Gross",
    MIN(17%*K26, 20*17%*K10),
    MIN(17%*L6, 20*17%*K10)
)</f>
        <v>7990000</v>
      </c>
      <c r="O17" s="18"/>
    </row>
    <row r="18" customFormat="false" ht="19.5" hidden="false" customHeight="true" outlineLevel="0" collapsed="false">
      <c r="A18" s="31"/>
      <c r="B18" s="32" t="s">
        <v>24</v>
      </c>
      <c r="C18" s="33" t="n">
        <f aca="false">IF(C6=0, 0, MIN(C6, 20*C10)*1.5%)</f>
        <v>705000</v>
      </c>
      <c r="D18" s="28"/>
      <c r="E18" s="28" t="s">
        <v>25</v>
      </c>
      <c r="F18" s="34" t="n">
        <f aca="false">IF(C6=0, 0, MIN(C6, 20*C10)*3%)</f>
        <v>1410000</v>
      </c>
      <c r="G18" s="18"/>
      <c r="I18" s="31"/>
      <c r="J18" s="32" t="s">
        <v>26</v>
      </c>
      <c r="K18" s="34" t="n">
        <f aca="false">K7*6200000</f>
        <v>6200000</v>
      </c>
      <c r="L18" s="28"/>
      <c r="M18" s="28" t="s">
        <v>25</v>
      </c>
      <c r="N18" s="34" t="n">
        <f aca="false">IF(K6="Trên lương Gross",
MIN(3%*K26,20*3%*K10),
MIN(3%*L6,20*3%*K10))</f>
        <v>1410000</v>
      </c>
      <c r="O18" s="18"/>
    </row>
    <row r="19" customFormat="false" ht="19.5" hidden="false" customHeight="true" outlineLevel="0" collapsed="false">
      <c r="A19" s="31"/>
      <c r="B19" s="32" t="s">
        <v>27</v>
      </c>
      <c r="C19" s="33" t="n">
        <f aca="false">IF(C6=0, 0, MIN(C6, 20*D8)*1%)</f>
        <v>470000</v>
      </c>
      <c r="D19" s="28"/>
      <c r="E19" s="28" t="s">
        <v>27</v>
      </c>
      <c r="F19" s="34" t="n">
        <f aca="false">IF(C6=0,0,MIN(C6,20*D8)*1%)</f>
        <v>470000</v>
      </c>
      <c r="G19" s="18"/>
      <c r="I19" s="31"/>
      <c r="J19" s="26" t="s">
        <v>28</v>
      </c>
      <c r="K19" s="27" t="n">
        <f aca="false">MAX(K16 - K17 - K18 - K9, 0)</f>
        <v>18828500</v>
      </c>
      <c r="L19" s="28"/>
      <c r="M19" s="28" t="s">
        <v>27</v>
      </c>
      <c r="N19" s="34" t="n">
        <f aca="false">IF(K6="Trên lương Gross",
MIN(1%*K26,20*1%*L8),
MIN(1%*L6,20*1%*L8))</f>
        <v>470000</v>
      </c>
      <c r="O19" s="18"/>
    </row>
    <row r="20" customFormat="false" ht="19.5" hidden="false" customHeight="true" outlineLevel="0" collapsed="false">
      <c r="A20" s="31"/>
      <c r="B20" s="26" t="s">
        <v>29</v>
      </c>
      <c r="C20" s="27" t="n">
        <f aca="false">C16-C17-C18-C19</f>
        <v>42065000</v>
      </c>
      <c r="D20" s="28"/>
      <c r="E20" s="28" t="s">
        <v>30</v>
      </c>
      <c r="F20" s="34" t="n">
        <f aca="false">IF(C6=0, 0,
    IF(G20="Trường hợp được giảm mức đóng (0.3%)",
        MIN(C6, 20*C10)*0.3%,
        MIN(C6, 20*C10)*0.5%
    )
)</f>
        <v>235000</v>
      </c>
      <c r="G20" s="35" t="s">
        <v>31</v>
      </c>
      <c r="I20" s="31"/>
      <c r="J20" s="36" t="s">
        <v>32</v>
      </c>
      <c r="K20" s="37" t="n">
        <f aca="false">IF(K19&lt;=9500000,K19/0.95,
IF(K19&lt;=27500000,(K19-500000)/0.9,
IF(K19&lt;=51500000,(K19-3500000)/0.8,
IF(K19&lt;=79500000,(K19-9500000)/0.7,
(K19-14500000)/0.65))))</f>
        <v>20365000</v>
      </c>
      <c r="L20" s="28"/>
      <c r="M20" s="28" t="s">
        <v>30</v>
      </c>
      <c r="N20" s="34" t="n">
        <f aca="false">IF(O20="Trường hợp được giảm mức đóng (0.3%)",
    0.3% * MIN(IF(K6="Khác", L6, K26), 20*K10),
    0.5% * MIN(IF(K6="Khác", L6, K26), 20*K10)
)</f>
        <v>235000</v>
      </c>
      <c r="O20" s="35" t="s">
        <v>31</v>
      </c>
    </row>
    <row r="21" customFormat="false" ht="19.5" hidden="false" customHeight="true" outlineLevel="0" collapsed="false">
      <c r="A21" s="31"/>
      <c r="B21" s="32" t="s">
        <v>23</v>
      </c>
      <c r="C21" s="33" t="n">
        <v>15500000</v>
      </c>
      <c r="D21" s="28"/>
      <c r="E21" s="28" t="s">
        <v>33</v>
      </c>
      <c r="F21" s="34" t="n">
        <f aca="false">IF(C6=0, 0, MIN(C6, 20*C10)*2%)</f>
        <v>940000</v>
      </c>
      <c r="G21" s="38" t="s">
        <v>34</v>
      </c>
      <c r="I21" s="31"/>
      <c r="J21" s="26" t="s">
        <v>35</v>
      </c>
      <c r="K21" s="27" t="n">
        <f aca="false">K35</f>
        <v>1536500</v>
      </c>
      <c r="L21" s="28"/>
      <c r="M21" s="28" t="s">
        <v>33</v>
      </c>
      <c r="N21" s="34" t="n">
        <f aca="false">MIN(IF(K6="khác", L6, O13), 20*K10) * 2%</f>
        <v>940000</v>
      </c>
      <c r="O21" s="38" t="s">
        <v>34</v>
      </c>
    </row>
    <row r="22" customFormat="false" ht="19.5" hidden="false" customHeight="true" outlineLevel="0" collapsed="false">
      <c r="A22" s="31"/>
      <c r="B22" s="32" t="s">
        <v>26</v>
      </c>
      <c r="C22" s="34" t="n">
        <f aca="false">C7*6200000</f>
        <v>6200000</v>
      </c>
      <c r="D22" s="28"/>
      <c r="E22" s="39" t="s">
        <v>36</v>
      </c>
      <c r="F22" s="30" t="n">
        <f aca="false">SUM(F16:F21)</f>
        <v>58045000</v>
      </c>
      <c r="G22" s="18"/>
      <c r="I22" s="31"/>
      <c r="J22" s="32" t="s">
        <v>29</v>
      </c>
      <c r="K22" s="34" t="n">
        <f aca="false">K16+K21</f>
        <v>42065000</v>
      </c>
      <c r="L22" s="28"/>
      <c r="M22" s="39" t="s">
        <v>36</v>
      </c>
      <c r="N22" s="30" t="n">
        <f aca="false">SUM(N16:N21)</f>
        <v>58045000</v>
      </c>
      <c r="O22" s="18"/>
    </row>
    <row r="23" customFormat="false" ht="19.5" hidden="false" customHeight="true" outlineLevel="0" collapsed="false">
      <c r="A23" s="40" t="str">
        <f aca="false">IF(C23&lt;=0, "Thu nhập chưa đủ để đóng thuế theo quy định", "")</f>
        <v/>
      </c>
      <c r="B23" s="26" t="s">
        <v>32</v>
      </c>
      <c r="C23" s="30" t="n">
        <f aca="false">MAX(C20 - C21 - C22 - C9, 0)</f>
        <v>20365000</v>
      </c>
      <c r="D23" s="28"/>
      <c r="E23" s="28"/>
      <c r="F23" s="34"/>
      <c r="G23" s="18"/>
      <c r="I23" s="40" t="str">
        <f aca="false">IF(K20&lt;=0, "Thu nhập chưa đủ để đóng thuế theo quy định", "")</f>
        <v/>
      </c>
      <c r="J23" s="32" t="str">
        <f aca="false">B17</f>
        <v>Bảo hiểm xã hội (8%)</v>
      </c>
      <c r="K23" s="34" t="n">
        <f aca="false">IF(K6="Khác",
    8% * MIN(L6, 20*K10),
    8% * MIN(O13, 20*K10)
)</f>
        <v>3760000</v>
      </c>
      <c r="L23" s="28"/>
      <c r="M23" s="28"/>
      <c r="N23" s="34"/>
      <c r="O23" s="18"/>
    </row>
    <row r="24" customFormat="false" ht="19.5" hidden="false" customHeight="true" outlineLevel="0" collapsed="false">
      <c r="A24" s="40"/>
      <c r="B24" s="32" t="s">
        <v>35</v>
      </c>
      <c r="C24" s="34" t="n">
        <f aca="false">C35</f>
        <v>1536500</v>
      </c>
      <c r="D24" s="28"/>
      <c r="E24" s="28"/>
      <c r="F24" s="34"/>
      <c r="G24" s="18"/>
      <c r="I24" s="40"/>
      <c r="J24" s="32" t="str">
        <f aca="false">B18</f>
        <v>Bảo hiểm Y tế (1,5%)</v>
      </c>
      <c r="K24" s="34" t="n">
        <f aca="false">IF(K6="Khác",
    1.5% * MIN(L6, 20*K10),
    1.5% * MIN(O13, 20*K10)
)</f>
        <v>705000</v>
      </c>
      <c r="L24" s="28"/>
      <c r="M24" s="28"/>
      <c r="N24" s="34"/>
      <c r="O24" s="18"/>
    </row>
    <row r="25" customFormat="false" ht="16.15" hidden="false" customHeight="false" outlineLevel="0" collapsed="false">
      <c r="A25" s="18"/>
      <c r="B25" s="26" t="s">
        <v>4</v>
      </c>
      <c r="C25" s="30" t="n">
        <f aca="false">C16-D13-C24</f>
        <v>40528500</v>
      </c>
      <c r="D25" s="28"/>
      <c r="E25" s="28"/>
      <c r="F25" s="34"/>
      <c r="G25" s="18"/>
      <c r="I25" s="18"/>
      <c r="J25" s="32" t="str">
        <f aca="false">B19</f>
        <v>Bảo hiểm thất nghiệp (1%)</v>
      </c>
      <c r="K25" s="34" t="n">
        <f aca="false">IF(K6="Khác",
MIN(1%*L6,1%*20*$L$8),
MIN(1%*K26,1%*20*$L$8)
)</f>
        <v>470000</v>
      </c>
      <c r="L25" s="28"/>
      <c r="M25" s="28"/>
      <c r="N25" s="34"/>
      <c r="O25" s="18"/>
    </row>
    <row r="26" customFormat="false" ht="16.15" hidden="false" customHeight="false" outlineLevel="0" collapsed="false">
      <c r="A26" s="18"/>
      <c r="B26" s="18"/>
      <c r="C26" s="41"/>
      <c r="D26" s="18"/>
      <c r="E26" s="18"/>
      <c r="F26" s="41"/>
      <c r="G26" s="18"/>
      <c r="I26" s="18"/>
      <c r="J26" s="26" t="s">
        <v>3</v>
      </c>
      <c r="K26" s="42" t="n">
        <f aca="false">IF(K6="Khác",
    K16+K21+K23+K24+K25,
    (K16+K21+K23+K24)/0.99
)</f>
        <v>47000000</v>
      </c>
      <c r="L26" s="25"/>
      <c r="M26" s="18"/>
      <c r="N26" s="41"/>
      <c r="O26" s="18"/>
    </row>
    <row r="27" customFormat="false" ht="15.75" hidden="false" customHeight="false" outlineLevel="0" collapsed="false">
      <c r="A27" s="18"/>
      <c r="B27" s="18"/>
      <c r="C27" s="41"/>
      <c r="D27" s="18"/>
      <c r="E27" s="18"/>
      <c r="F27" s="18"/>
      <c r="G27" s="18"/>
      <c r="I27" s="18"/>
      <c r="K27" s="41"/>
      <c r="L27" s="18"/>
      <c r="M27" s="18"/>
      <c r="N27" s="18"/>
      <c r="O27" s="18"/>
    </row>
    <row r="28" customFormat="false" ht="19.5" hidden="false" customHeight="true" outlineLevel="0" collapsed="false">
      <c r="A28" s="18"/>
      <c r="B28" s="43" t="s">
        <v>37</v>
      </c>
      <c r="C28" s="43"/>
      <c r="D28" s="43"/>
      <c r="E28" s="18"/>
      <c r="F28" s="18"/>
      <c r="G28" s="18"/>
      <c r="I28" s="18"/>
      <c r="J28" s="43" t="s">
        <v>37</v>
      </c>
      <c r="K28" s="43"/>
      <c r="L28" s="43"/>
      <c r="M28" s="44" t="s">
        <v>38</v>
      </c>
      <c r="N28" s="44"/>
      <c r="O28" s="45"/>
    </row>
    <row r="29" customFormat="false" ht="19.5" hidden="false" customHeight="true" outlineLevel="0" collapsed="false">
      <c r="A29" s="18"/>
      <c r="B29" s="46" t="s">
        <v>39</v>
      </c>
      <c r="C29" s="46" t="s">
        <v>40</v>
      </c>
      <c r="D29" s="47" t="s">
        <v>41</v>
      </c>
      <c r="E29" s="18"/>
      <c r="F29" s="18"/>
      <c r="G29" s="18"/>
      <c r="I29" s="18"/>
      <c r="J29" s="46" t="s">
        <v>39</v>
      </c>
      <c r="K29" s="46" t="s">
        <v>40</v>
      </c>
      <c r="L29" s="47" t="s">
        <v>41</v>
      </c>
      <c r="M29" s="48" t="s">
        <v>42</v>
      </c>
      <c r="N29" s="49" t="s">
        <v>43</v>
      </c>
    </row>
    <row r="30" customFormat="false" ht="19.5" hidden="false" customHeight="true" outlineLevel="0" collapsed="false">
      <c r="A30" s="18"/>
      <c r="B30" s="50" t="str">
        <f aca="false">J30</f>
        <v>Đến 10 triệu VNĐ </v>
      </c>
      <c r="C30" s="51" t="n">
        <f aca="false">K30</f>
        <v>0.05</v>
      </c>
      <c r="D30" s="52" t="n">
        <f aca="false">IF(C23&lt;=10000000,C23*5/100,500000)</f>
        <v>500000</v>
      </c>
      <c r="E30" s="18"/>
      <c r="F30" s="18"/>
      <c r="G30" s="18"/>
      <c r="I30" s="18"/>
      <c r="J30" s="50" t="str">
        <f aca="false">'Thuế TNCN'!G16</f>
        <v>Đến 10 triệu VNĐ </v>
      </c>
      <c r="K30" s="53" t="n">
        <f aca="false">'Thuế TNCN'!H16</f>
        <v>0.05</v>
      </c>
      <c r="L30" s="54" t="n">
        <f aca="false">IF(K20&lt;=10000000,K20*5/100,500000)</f>
        <v>500000</v>
      </c>
      <c r="M30" s="55" t="s">
        <v>44</v>
      </c>
      <c r="N30" s="56" t="s">
        <v>45</v>
      </c>
      <c r="O30" s="57"/>
    </row>
    <row r="31" customFormat="false" ht="19.5" hidden="false" customHeight="true" outlineLevel="0" collapsed="false">
      <c r="A31" s="18"/>
      <c r="B31" s="50" t="str">
        <f aca="false">J31</f>
        <v>Trên 10 triệu VNĐ đến 30 triệu VNĐ </v>
      </c>
      <c r="C31" s="51" t="n">
        <f aca="false">K31</f>
        <v>0.1</v>
      </c>
      <c r="D31" s="52" t="n">
        <f aca="false">IF(C23&gt;10000000,IF(C23&lt;30000000,(C23-10000000)*10/100,2000000),0)</f>
        <v>1036500</v>
      </c>
      <c r="E31" s="18"/>
      <c r="F31" s="18"/>
      <c r="G31" s="18"/>
      <c r="I31" s="18"/>
      <c r="J31" s="50" t="str">
        <f aca="false">'Thuế TNCN'!G17</f>
        <v>Trên 10 triệu VNĐ đến 30 triệu VNĐ </v>
      </c>
      <c r="K31" s="53" t="n">
        <f aca="false">'Thuế TNCN'!H17</f>
        <v>0.1</v>
      </c>
      <c r="L31" s="54" t="n">
        <f aca="false">IF(K20&gt;10000000,IF(K20&lt;30000000,(K20-10000000)*10/100,2000000),0)</f>
        <v>1036500</v>
      </c>
      <c r="M31" s="55" t="s">
        <v>46</v>
      </c>
      <c r="N31" s="56" t="s">
        <v>47</v>
      </c>
      <c r="O31" s="57"/>
    </row>
    <row r="32" customFormat="false" ht="19.5" hidden="false" customHeight="true" outlineLevel="0" collapsed="false">
      <c r="A32" s="18"/>
      <c r="B32" s="50" t="str">
        <f aca="false">J32</f>
        <v>Trên 30 triệu VNĐ đến 60 triệu VNĐ </v>
      </c>
      <c r="C32" s="51" t="n">
        <f aca="false">K32</f>
        <v>0.2</v>
      </c>
      <c r="D32" s="52" t="n">
        <f aca="false">IF(C23&gt;30000000, IF(C23&lt;=60000000,(C23-30000000)*20/100,6000000),0)</f>
        <v>0</v>
      </c>
      <c r="E32" s="18"/>
      <c r="F32" s="18"/>
      <c r="G32" s="18"/>
      <c r="I32" s="18"/>
      <c r="J32" s="50" t="str">
        <f aca="false">'Thuế TNCN'!G18</f>
        <v>Trên 30 triệu VNĐ đến 60 triệu VNĐ </v>
      </c>
      <c r="K32" s="53" t="n">
        <f aca="false">'Thuế TNCN'!H18</f>
        <v>0.2</v>
      </c>
      <c r="L32" s="54" t="n">
        <f aca="false">IF(K20&gt;30000000, IF(K20&lt;=60000000,(K20-30000000)*20/100,6000000),0)</f>
        <v>0</v>
      </c>
      <c r="M32" s="55" t="s">
        <v>48</v>
      </c>
      <c r="N32" s="56" t="s">
        <v>49</v>
      </c>
      <c r="O32" s="57"/>
    </row>
    <row r="33" customFormat="false" ht="19.5" hidden="false" customHeight="true" outlineLevel="0" collapsed="false">
      <c r="A33" s="18"/>
      <c r="B33" s="50" t="str">
        <f aca="false">J33</f>
        <v>Trên 60 triệu VNĐ đến 100 triệu VNĐ </v>
      </c>
      <c r="C33" s="51" t="n">
        <f aca="false">K33</f>
        <v>0.3</v>
      </c>
      <c r="D33" s="52" t="n">
        <f aca="false">IF(C23&gt;60000000, IF(C23&lt;=100000000,(C23-60000000)*30/100,12000000),0)</f>
        <v>0</v>
      </c>
      <c r="E33" s="18"/>
      <c r="F33" s="18"/>
      <c r="G33" s="18"/>
      <c r="I33" s="18"/>
      <c r="J33" s="50" t="str">
        <f aca="false">'Thuế TNCN'!G19</f>
        <v>Trên 60 triệu VNĐ đến 100 triệu VNĐ </v>
      </c>
      <c r="K33" s="53" t="n">
        <f aca="false">'Thuế TNCN'!H19</f>
        <v>0.3</v>
      </c>
      <c r="L33" s="54" t="n">
        <f aca="false">IF(K20&gt;60000000, IF(K20&lt;=100000000,(K20-60000000)*30/100,12000000),0)</f>
        <v>0</v>
      </c>
      <c r="M33" s="55" t="s">
        <v>50</v>
      </c>
      <c r="N33" s="56" t="s">
        <v>51</v>
      </c>
      <c r="O33" s="57"/>
    </row>
    <row r="34" customFormat="false" ht="19.5" hidden="false" customHeight="true" outlineLevel="0" collapsed="false">
      <c r="A34" s="18"/>
      <c r="B34" s="50" t="str">
        <f aca="false">J34</f>
        <v>Trên 100 triệu VNĐ </v>
      </c>
      <c r="C34" s="51" t="n">
        <f aca="false">K34</f>
        <v>0.35</v>
      </c>
      <c r="D34" s="52" t="n">
        <f aca="false">IF(C23&gt;100000000,(C23-100000000)*35/100,0)</f>
        <v>0</v>
      </c>
      <c r="E34" s="18"/>
      <c r="F34" s="18"/>
      <c r="G34" s="18"/>
      <c r="I34" s="18"/>
      <c r="J34" s="50" t="str">
        <f aca="false">'Thuế TNCN'!G20</f>
        <v>Trên 100 triệu VNĐ </v>
      </c>
      <c r="K34" s="53" t="n">
        <f aca="false">'Thuế TNCN'!H20</f>
        <v>0.35</v>
      </c>
      <c r="L34" s="54" t="n">
        <f aca="false">IF(K20&gt;100000000,(K20-100000000)*35/100,0)</f>
        <v>0</v>
      </c>
      <c r="M34" s="55" t="s">
        <v>52</v>
      </c>
      <c r="N34" s="56" t="s">
        <v>53</v>
      </c>
      <c r="O34" s="57"/>
    </row>
    <row r="35" customFormat="false" ht="19.5" hidden="false" customHeight="true" outlineLevel="0" collapsed="false">
      <c r="A35" s="18"/>
      <c r="B35" s="50" t="s">
        <v>54</v>
      </c>
      <c r="C35" s="58" t="n">
        <f aca="false">SUM(D30:D34)</f>
        <v>1536500</v>
      </c>
      <c r="D35" s="58"/>
      <c r="E35" s="18"/>
      <c r="F35" s="18"/>
      <c r="G35" s="18"/>
      <c r="I35" s="18"/>
      <c r="J35" s="50" t="s">
        <v>54</v>
      </c>
      <c r="K35" s="58" t="n">
        <f aca="false">SUM(L30:L34)</f>
        <v>1536500</v>
      </c>
      <c r="L35" s="58"/>
      <c r="M35" s="59"/>
      <c r="N35" s="60" t="s">
        <v>55</v>
      </c>
      <c r="O35" s="60"/>
    </row>
    <row r="36" customFormat="false" ht="15.75" hidden="false" customHeight="false" outlineLevel="0" collapsed="false">
      <c r="A36" s="18"/>
      <c r="B36" s="18"/>
      <c r="C36" s="18"/>
      <c r="D36" s="18"/>
      <c r="E36" s="18"/>
      <c r="F36" s="18"/>
      <c r="G36" s="18"/>
      <c r="I36" s="18"/>
      <c r="J36" s="18"/>
      <c r="K36" s="18"/>
      <c r="L36" s="18"/>
      <c r="M36" s="18"/>
      <c r="N36" s="18"/>
      <c r="O36" s="18"/>
    </row>
    <row r="37" customFormat="false" ht="15.75" hidden="false" customHeight="false" outlineLevel="0" collapsed="false">
      <c r="A37" s="18"/>
      <c r="B37" s="18"/>
      <c r="C37" s="18"/>
      <c r="D37" s="18"/>
      <c r="E37" s="18"/>
      <c r="F37" s="18"/>
      <c r="G37" s="18"/>
      <c r="I37" s="18"/>
      <c r="J37" s="18"/>
      <c r="K37" s="18"/>
      <c r="L37" s="18"/>
      <c r="M37" s="18"/>
      <c r="N37" s="18"/>
      <c r="O37" s="18"/>
    </row>
    <row r="38" customFormat="false" ht="15.75" hidden="false" customHeight="false" outlineLevel="0" collapsed="false"/>
    <row r="39" customFormat="false" ht="15.75" hidden="false" customHeight="false" outlineLevel="0" collapsed="false"/>
  </sheetData>
  <sheetProtection sheet="true" password="ce28" objects="true" scenarios="true" selectLockedCells="true"/>
  <mergeCells count="19">
    <mergeCell ref="A1:G3"/>
    <mergeCell ref="I1:O3"/>
    <mergeCell ref="A4:G4"/>
    <mergeCell ref="I4:O4"/>
    <mergeCell ref="M6:O6"/>
    <mergeCell ref="B15:C15"/>
    <mergeCell ref="E15:F15"/>
    <mergeCell ref="J15:K15"/>
    <mergeCell ref="M15:N15"/>
    <mergeCell ref="A17:A22"/>
    <mergeCell ref="I17:I22"/>
    <mergeCell ref="A23:A24"/>
    <mergeCell ref="I23:I24"/>
    <mergeCell ref="B28:D28"/>
    <mergeCell ref="J28:L28"/>
    <mergeCell ref="M28:N28"/>
    <mergeCell ref="C35:D35"/>
    <mergeCell ref="K35:L35"/>
    <mergeCell ref="N35:O35"/>
  </mergeCells>
  <conditionalFormatting sqref="L6">
    <cfRule type="expression" priority="2" aboveAverage="0" equalAverage="0" bottom="0" percent="0" rank="0" text="" dxfId="0">
      <formula>AND($K$6="Khác",$L$6="")</formula>
    </cfRule>
  </conditionalFormatting>
  <dataValidations count="4">
    <dataValidation allowBlank="true" errorStyle="stop" operator="between" showDropDown="false" showErrorMessage="true" showInputMessage="true" sqref="C8 K8" type="list">
      <formula1>"Vùng 1,Vùng 2,Vùng 3,Vùng 4"</formula1>
      <formula2>0</formula2>
    </dataValidation>
    <dataValidation allowBlank="true" errorStyle="stop" operator="between" showDropDown="false" showErrorMessage="true" showInputMessage="true" sqref="G20 O20" type="list">
      <formula1>"Đóng theo mức bình thường (0.5%) ,Trường hợp được giảm mức đóng (0.3%)"</formula1>
      <formula2>0</formula2>
    </dataValidation>
    <dataValidation allowBlank="true" errorStyle="stop" operator="between" showDropDown="false" showErrorMessage="true" showInputMessage="true" sqref="K6" type="list">
      <formula1>"Trên lương Gross,Khác"</formula1>
      <formula2>0</formula2>
    </dataValidation>
    <dataValidation allowBlank="true" error="Khi chọn &quot;Trên lương Gross&quot; thì không được nhập ô L6." errorStyle="stop" errorTitle="Không được nhập" operator="between" showDropDown="false" showErrorMessage="true" showInputMessage="true" sqref="L6" type="custom">
      <formula1>OR($K$6&lt;&gt;"Trên lương Gross",$L$6="")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35"/>
  <sheetViews>
    <sheetView showFormulas="false" showGridLines="true" showRowColHeaders="true" showZeros="true" rightToLeft="false" tabSelected="false" showOutlineSymbols="true" defaultGridColor="true" view="normal" topLeftCell="A5" colorId="64" zoomScale="100" zoomScaleNormal="100" zoomScalePageLayoutView="100" workbookViewId="0">
      <selection pane="topLeft" activeCell="D9" activeCellId="0" sqref="D9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61" width="7.63"/>
    <col collapsed="false" customWidth="true" hidden="false" outlineLevel="0" max="2" min="2" style="61" width="3.87"/>
    <col collapsed="false" customWidth="true" hidden="false" outlineLevel="0" max="3" min="3" style="61" width="29.38"/>
    <col collapsed="false" customWidth="true" hidden="false" outlineLevel="0" max="4" min="4" style="61" width="15.62"/>
    <col collapsed="false" customWidth="true" hidden="false" outlineLevel="0" max="5" min="5" style="61" width="17.75"/>
    <col collapsed="false" customWidth="true" hidden="false" outlineLevel="0" max="6" min="6" style="61" width="15"/>
    <col collapsed="false" customWidth="true" hidden="false" outlineLevel="0" max="7" min="7" style="61" width="32.25"/>
    <col collapsed="false" customWidth="true" hidden="false" outlineLevel="0" max="8" min="8" style="61" width="11.5"/>
    <col collapsed="false" customWidth="true" hidden="false" outlineLevel="0" max="9" min="9" style="61" width="17.25"/>
    <col collapsed="false" customWidth="true" hidden="false" outlineLevel="0" max="10" min="10" style="62" width="17.25"/>
    <col collapsed="false" customWidth="false" hidden="false" outlineLevel="0" max="16384" min="11" style="61" width="9"/>
  </cols>
  <sheetData>
    <row r="2" customFormat="false" ht="39" hidden="false" customHeight="true" outlineLevel="0" collapsed="false">
      <c r="A2" s="63"/>
      <c r="B2" s="63"/>
      <c r="C2" s="64" t="s">
        <v>56</v>
      </c>
      <c r="D2" s="64"/>
      <c r="E2" s="64"/>
      <c r="F2" s="64"/>
      <c r="G2" s="64"/>
      <c r="H2" s="64"/>
      <c r="I2" s="64"/>
    </row>
    <row r="3" customFormat="false" ht="21" hidden="false" customHeight="true" outlineLevel="0" collapsed="false">
      <c r="C3" s="65" t="s">
        <v>57</v>
      </c>
      <c r="D3" s="65"/>
      <c r="E3" s="65"/>
      <c r="F3" s="65"/>
      <c r="G3" s="65"/>
      <c r="H3" s="65"/>
      <c r="I3" s="65"/>
    </row>
    <row r="4" customFormat="false" ht="15" hidden="false" customHeight="false" outlineLevel="0" collapsed="false">
      <c r="A4" s="66" t="s">
        <v>58</v>
      </c>
      <c r="J4" s="67"/>
    </row>
    <row r="5" customFormat="false" ht="15" hidden="false" customHeight="false" outlineLevel="0" collapsed="false">
      <c r="B5" s="68" t="n">
        <v>1</v>
      </c>
      <c r="C5" s="69" t="s">
        <v>59</v>
      </c>
      <c r="D5" s="70" t="s">
        <v>10</v>
      </c>
      <c r="E5" s="71" t="n">
        <f aca="false">VLOOKUP(D5, C31:D34, 2, 0)</f>
        <v>5310000</v>
      </c>
      <c r="F5" s="72" t="s">
        <v>60</v>
      </c>
      <c r="G5" s="72"/>
    </row>
    <row r="6" customFormat="false" ht="15" hidden="false" customHeight="false" outlineLevel="0" collapsed="false">
      <c r="B6" s="68" t="n">
        <v>2</v>
      </c>
      <c r="C6" s="69" t="s">
        <v>61</v>
      </c>
      <c r="D6" s="73" t="n">
        <v>275000000</v>
      </c>
      <c r="E6" s="74"/>
      <c r="F6" s="69"/>
      <c r="G6" s="69"/>
    </row>
    <row r="7" customFormat="false" ht="15" hidden="false" customHeight="false" outlineLevel="0" collapsed="false">
      <c r="B7" s="68" t="n">
        <v>3</v>
      </c>
      <c r="C7" s="69" t="s">
        <v>62</v>
      </c>
      <c r="D7" s="73" t="n">
        <v>5000000</v>
      </c>
      <c r="E7" s="71" t="n">
        <f aca="false">IF(D7&gt;20*E26, 20*E26,D7)</f>
        <v>5000000</v>
      </c>
      <c r="F7" s="75" t="n">
        <f aca="false">IF(D7&gt;20*E5, 20*E5,D7)</f>
        <v>5000000</v>
      </c>
      <c r="G7" s="69"/>
    </row>
    <row r="8" customFormat="false" ht="15" hidden="false" customHeight="false" outlineLevel="0" collapsed="false">
      <c r="B8" s="68" t="n">
        <v>4</v>
      </c>
      <c r="C8" s="76" t="s">
        <v>63</v>
      </c>
      <c r="D8" s="73" t="n">
        <v>0</v>
      </c>
      <c r="E8" s="77" t="s">
        <v>64</v>
      </c>
      <c r="F8" s="77" t="s">
        <v>65</v>
      </c>
      <c r="G8" s="69"/>
    </row>
    <row r="9" customFormat="false" ht="15" hidden="false" customHeight="false" outlineLevel="0" collapsed="false">
      <c r="B9" s="68" t="n">
        <v>5</v>
      </c>
      <c r="C9" s="69" t="s">
        <v>66</v>
      </c>
      <c r="D9" s="78" t="n">
        <v>0</v>
      </c>
      <c r="E9" s="69"/>
      <c r="F9" s="69"/>
      <c r="G9" s="69"/>
    </row>
    <row r="11" customFormat="false" ht="15" hidden="false" customHeight="false" outlineLevel="0" collapsed="false">
      <c r="A11" s="79" t="s">
        <v>13</v>
      </c>
      <c r="B11" s="79"/>
      <c r="C11" s="80" t="s">
        <v>67</v>
      </c>
      <c r="D11" s="80" t="s">
        <v>15</v>
      </c>
      <c r="E11" s="80" t="s">
        <v>16</v>
      </c>
      <c r="F11" s="80" t="s">
        <v>68</v>
      </c>
    </row>
    <row r="12" customFormat="false" ht="15" hidden="false" customHeight="false" outlineLevel="0" collapsed="false">
      <c r="C12" s="81" t="n">
        <f aca="false">D6</f>
        <v>275000000</v>
      </c>
      <c r="D12" s="82" t="n">
        <f aca="false">D16+D17+D18</f>
        <v>525000</v>
      </c>
      <c r="E12" s="83" t="n">
        <f aca="false">H21</f>
        <v>76141250</v>
      </c>
      <c r="F12" s="84" t="n">
        <f aca="false">C12-D12-E12</f>
        <v>198333750</v>
      </c>
    </row>
    <row r="14" customFormat="false" ht="15" hidden="false" customHeight="false" outlineLevel="0" collapsed="false">
      <c r="A14" s="85" t="s">
        <v>69</v>
      </c>
      <c r="B14" s="85"/>
      <c r="G14" s="80"/>
    </row>
    <row r="15" customFormat="false" ht="15" hidden="false" customHeight="false" outlineLevel="0" collapsed="false">
      <c r="D15" s="80" t="s">
        <v>70</v>
      </c>
      <c r="G15" s="80" t="s">
        <v>39</v>
      </c>
      <c r="H15" s="80" t="s">
        <v>40</v>
      </c>
      <c r="I15" s="86" t="s">
        <v>41</v>
      </c>
    </row>
    <row r="16" customFormat="false" ht="15" hidden="false" customHeight="false" outlineLevel="0" collapsed="false">
      <c r="C16" s="61" t="s">
        <v>21</v>
      </c>
      <c r="D16" s="87" t="n">
        <f aca="false">E7*8/100</f>
        <v>400000</v>
      </c>
      <c r="G16" s="61" t="s">
        <v>71</v>
      </c>
      <c r="H16" s="88" t="n">
        <v>0.05</v>
      </c>
      <c r="I16" s="87" t="n">
        <f aca="false">IF(D23&lt;0,0,J16)</f>
        <v>500000</v>
      </c>
      <c r="J16" s="89" t="n">
        <f aca="false">IF(D23&lt;=10000000,D23*5/100,500000)</f>
        <v>500000</v>
      </c>
    </row>
    <row r="17" customFormat="false" ht="15" hidden="false" customHeight="false" outlineLevel="0" collapsed="false">
      <c r="C17" s="61" t="s">
        <v>72</v>
      </c>
      <c r="D17" s="87" t="n">
        <f aca="false">E7*1.5/100</f>
        <v>75000</v>
      </c>
      <c r="G17" s="61" t="s">
        <v>73</v>
      </c>
      <c r="H17" s="88" t="n">
        <v>0.1</v>
      </c>
      <c r="I17" s="87" t="n">
        <f aca="false">IF(D23&gt;10000000, IF(D23&lt;30000000,(D23-10000000)*10/100,2000000),0)</f>
        <v>2000000</v>
      </c>
    </row>
    <row r="18" customFormat="false" ht="15" hidden="false" customHeight="false" outlineLevel="0" collapsed="false">
      <c r="C18" s="61" t="s">
        <v>74</v>
      </c>
      <c r="D18" s="87" t="n">
        <f aca="false">F7*1/100</f>
        <v>50000</v>
      </c>
      <c r="G18" s="61" t="s">
        <v>75</v>
      </c>
      <c r="H18" s="88" t="n">
        <v>0.2</v>
      </c>
      <c r="I18" s="87" t="n">
        <f aca="false">IF(D23&gt;30000000, IF(D23&lt;=60000000,(D23-30000000)*20/100,6000000),0)</f>
        <v>6000000</v>
      </c>
    </row>
    <row r="19" customFormat="false" ht="15" hidden="false" customHeight="false" outlineLevel="0" collapsed="false">
      <c r="C19" s="61" t="s">
        <v>66</v>
      </c>
      <c r="D19" s="82" t="n">
        <f aca="false">D9</f>
        <v>0</v>
      </c>
      <c r="G19" s="61" t="s">
        <v>76</v>
      </c>
      <c r="H19" s="88" t="n">
        <v>0.3</v>
      </c>
      <c r="I19" s="87" t="n">
        <f aca="false">IF(D23&gt;60000000, IF(D23&lt;=100000000,(D23-60000000)*30/100,12000000),0)</f>
        <v>12000000</v>
      </c>
    </row>
    <row r="20" customFormat="false" ht="15" hidden="false" customHeight="false" outlineLevel="0" collapsed="false">
      <c r="C20" s="61" t="s">
        <v>77</v>
      </c>
      <c r="D20" s="90" t="n">
        <f aca="false">D6-D16-D17-D18-D19</f>
        <v>274475000</v>
      </c>
      <c r="G20" s="61" t="s">
        <v>78</v>
      </c>
      <c r="H20" s="88" t="n">
        <v>0.35</v>
      </c>
      <c r="I20" s="87" t="n">
        <f aca="false">IF(D23&gt;100000000,(D23-100000000)*35/100,0)</f>
        <v>55641250</v>
      </c>
    </row>
    <row r="21" customFormat="false" ht="15" hidden="false" customHeight="false" outlineLevel="0" collapsed="false">
      <c r="C21" s="61" t="s">
        <v>79</v>
      </c>
      <c r="D21" s="87" t="n">
        <v>15500000</v>
      </c>
      <c r="G21" s="61" t="s">
        <v>54</v>
      </c>
      <c r="H21" s="91" t="n">
        <f aca="false">SUM(I16:I20)</f>
        <v>76141250</v>
      </c>
      <c r="I21" s="91"/>
    </row>
    <row r="22" customFormat="false" ht="15" hidden="false" customHeight="false" outlineLevel="0" collapsed="false">
      <c r="C22" s="61" t="s">
        <v>80</v>
      </c>
      <c r="D22" s="87" t="n">
        <f aca="false">D8*6200000</f>
        <v>0</v>
      </c>
    </row>
    <row r="23" customFormat="false" ht="15" hidden="false" customHeight="false" outlineLevel="0" collapsed="false">
      <c r="C23" s="61" t="s">
        <v>81</v>
      </c>
      <c r="D23" s="92" t="n">
        <f aca="false">D20-D21-D22</f>
        <v>258975000</v>
      </c>
    </row>
    <row r="24" customFormat="false" ht="15" hidden="false" customHeight="false" outlineLevel="0" collapsed="false">
      <c r="C24" s="93"/>
      <c r="D24" s="87"/>
    </row>
    <row r="26" customFormat="false" ht="15" hidden="false" customHeight="false" outlineLevel="0" collapsed="false">
      <c r="D26" s="61" t="s">
        <v>82</v>
      </c>
      <c r="E26" s="94" t="n">
        <v>2340000</v>
      </c>
    </row>
    <row r="27" customFormat="false" ht="51" hidden="false" customHeight="true" outlineLevel="0" collapsed="false">
      <c r="A27" s="95" t="s">
        <v>83</v>
      </c>
      <c r="B27" s="96" t="s">
        <v>84</v>
      </c>
      <c r="C27" s="96"/>
      <c r="D27" s="96"/>
      <c r="E27" s="96"/>
      <c r="F27" s="96"/>
      <c r="G27" s="96"/>
    </row>
    <row r="28" customFormat="false" ht="26.85" hidden="false" customHeight="true" outlineLevel="0" collapsed="false">
      <c r="A28" s="74"/>
      <c r="B28" s="97"/>
      <c r="C28" s="98" t="s">
        <v>85</v>
      </c>
      <c r="D28" s="99" t="s">
        <v>86</v>
      </c>
      <c r="E28" s="99" t="s">
        <v>87</v>
      </c>
      <c r="F28" s="100"/>
      <c r="G28" s="100"/>
    </row>
    <row r="29" customFormat="false" ht="15" hidden="false" customHeight="false" outlineLevel="0" collapsed="false">
      <c r="A29" s="74"/>
      <c r="B29" s="97"/>
      <c r="C29" s="98"/>
      <c r="D29" s="101"/>
      <c r="E29" s="101"/>
      <c r="F29" s="100"/>
      <c r="G29" s="100"/>
    </row>
    <row r="30" customFormat="false" ht="26.85" hidden="false" customHeight="false" outlineLevel="0" collapsed="false">
      <c r="A30" s="74"/>
      <c r="B30" s="97"/>
      <c r="C30" s="98"/>
      <c r="D30" s="99" t="s">
        <v>88</v>
      </c>
      <c r="E30" s="99" t="s">
        <v>89</v>
      </c>
      <c r="F30" s="100"/>
      <c r="G30" s="100"/>
    </row>
    <row r="31" customFormat="false" ht="15" hidden="false" customHeight="false" outlineLevel="0" collapsed="false">
      <c r="B31" s="100"/>
      <c r="C31" s="102" t="s">
        <v>10</v>
      </c>
      <c r="D31" s="103" t="n">
        <v>5310000</v>
      </c>
      <c r="E31" s="103" t="n">
        <v>25500</v>
      </c>
      <c r="F31" s="100"/>
      <c r="G31" s="100"/>
    </row>
    <row r="32" customFormat="false" ht="15" hidden="false" customHeight="false" outlineLevel="0" collapsed="false">
      <c r="B32" s="100"/>
      <c r="C32" s="102" t="s">
        <v>90</v>
      </c>
      <c r="D32" s="103" t="n">
        <v>4730000</v>
      </c>
      <c r="E32" s="103" t="n">
        <v>22700</v>
      </c>
      <c r="F32" s="100"/>
      <c r="G32" s="100"/>
    </row>
    <row r="33" customFormat="false" ht="15" hidden="false" customHeight="false" outlineLevel="0" collapsed="false">
      <c r="B33" s="100"/>
      <c r="C33" s="102" t="s">
        <v>91</v>
      </c>
      <c r="D33" s="103" t="n">
        <v>4140000</v>
      </c>
      <c r="E33" s="103" t="n">
        <v>20000</v>
      </c>
      <c r="F33" s="100"/>
      <c r="G33" s="100"/>
    </row>
    <row r="34" customFormat="false" ht="15" hidden="false" customHeight="false" outlineLevel="0" collapsed="false">
      <c r="B34" s="100"/>
      <c r="C34" s="102" t="s">
        <v>92</v>
      </c>
      <c r="D34" s="103" t="n">
        <v>3700000</v>
      </c>
      <c r="E34" s="103" t="n">
        <v>17800</v>
      </c>
      <c r="F34" s="100"/>
      <c r="G34" s="100"/>
    </row>
    <row r="35" customFormat="false" ht="15" hidden="false" customHeight="false" outlineLevel="0" collapsed="false">
      <c r="B35" s="100"/>
      <c r="C35" s="100"/>
      <c r="D35" s="100"/>
      <c r="E35" s="100"/>
      <c r="F35" s="100"/>
      <c r="G35" s="100"/>
    </row>
  </sheetData>
  <sheetProtection algorithmName="SHA-512" hashValue="7bAt8REZrSiNH7750VXaycxOzkFJHdvAg4Pv1W6izRSXrd4SSe2jqpR0df22OgcV7XP84V2SpRXp3IJooyi2mQ==" saltValue="+us19GQer9LfORyTHLPeqg==" spinCount="100000" sheet="true" objects="true" selectLockedCells="true"/>
  <mergeCells count="7">
    <mergeCell ref="C2:I2"/>
    <mergeCell ref="C3:I3"/>
    <mergeCell ref="F5:G5"/>
    <mergeCell ref="A11:B11"/>
    <mergeCell ref="A14:B14"/>
    <mergeCell ref="H21:I21"/>
    <mergeCell ref="C28:C30"/>
  </mergeCells>
  <dataValidations count="1">
    <dataValidation allowBlank="true" errorStyle="stop" operator="between" showDropDown="false" showErrorMessage="true" showInputMessage="true" sqref="D5" type="list">
      <formula1>"Vùng 1,Vùng 2,Vùng 3,Vùng 4"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2020-06-11T01:09:13Z</dcterms:created>
  <dc:creator>Admin</dc:creator>
  <dc:description/>
  <dc:language>vi-VN</dc:language>
  <cp:lastModifiedBy/>
  <dcterms:modified xsi:type="dcterms:W3CDTF">2026-07-31T08:31:59Z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